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upplement Master List" sheetId="1" r:id="rId3"/>
    <sheet state="visible" name="Cover" sheetId="2" r:id="rId4"/>
    <sheet state="visible" name="Unbalanced PMR Recipe" sheetId="3" r:id="rId5"/>
    <sheet state="visible" name="AM Unbalanced PMR Recipe Report" sheetId="4" r:id="rId6"/>
    <sheet state="visible" name="GD Unbalanced PMR Recipe Report" sheetId="5" r:id="rId7"/>
    <sheet state="hidden" name="Unbalanced PMR Recipe Shopping " sheetId="6" r:id="rId8"/>
    <sheet state="hidden" name="Unbalanced PMR Recipe Data" sheetId="7" r:id="rId9"/>
    <sheet state="hidden" name="Unbalanced Recipe Shopping List" sheetId="8" r:id="rId10"/>
    <sheet state="visible" name="Balanced Recipe" sheetId="9" r:id="rId11"/>
    <sheet state="visible" name="AM Balanced Recipe Report" sheetId="10" r:id="rId12"/>
    <sheet state="visible" name="GD Balanced Recipe Report" sheetId="11" r:id="rId13"/>
    <sheet state="visible" name="Balanced Recipe Shopping List" sheetId="12" r:id="rId14"/>
    <sheet state="hidden" name="Balanced Recipe Shopping List, " sheetId="13" r:id="rId15"/>
    <sheet state="hidden" name="Balanced Recipe Data" sheetId="14" r:id="rId16"/>
    <sheet state="visible" name="Obesity" sheetId="15" r:id="rId17"/>
    <sheet state="visible" name="FAQ" sheetId="16" r:id="rId18"/>
    <sheet state="hidden" name="Cooking Yield Data" sheetId="17" r:id="rId19"/>
  </sheets>
  <definedNames>
    <definedName name="IodineSupplements">'Supplement Master List'!$A$2:$A$7</definedName>
    <definedName name="MagnesiumSupplements">'Supplement Master List'!$A$37:$A$41</definedName>
    <definedName name="DigestiveEnzymes">'Supplement Master List'!$A$75:$A$77</definedName>
    <definedName name="ALAsupplements">'Supplement Master List'!$A$16:$A$20</definedName>
    <definedName name="PsylliumHuskSupplements">'Supplement Master List'!$A$73:$A$74</definedName>
    <definedName name="FishOilSupplements">'Supplement Master List'!$A$63:$A$66</definedName>
    <definedName name="ZincSupplements">'Supplement Master List'!$A$24:$A$28</definedName>
    <definedName name="ManganeseSupplements">'Supplement Master List'!$A$21:$A$23</definedName>
    <definedName name="CalciumSupplements">'Supplement Master List'!$A$52:$A$58</definedName>
    <definedName name="TaurineSupplements">'Supplement Master List'!$A$67:$A$68</definedName>
    <definedName name="DrHarveyVegMix">'Supplement Master List'!$A$69:$A$72</definedName>
    <definedName name="MineralSupplements">'Supplement Master List'!$A$47:$A$51</definedName>
    <definedName name="VitaminEsupplements">'Supplement Master List'!$A$8:$A$15</definedName>
    <definedName name="VitaminDsupplements">'Supplement Master List'!$A$29:$A$32</definedName>
    <definedName name="CopperSupplements">'Supplement Master List'!$A$42:$A$43</definedName>
    <definedName name="IronSupplements">'Supplement Master List'!$A$33:$A$36</definedName>
    <definedName name="BcomplexSupplments">'Supplement Master List'!$A$59:$A$62</definedName>
    <definedName name="FatSupplement">'Supplement Master List'!$A$44:$A$46</definedName>
  </definedNames>
  <calcPr/>
</workbook>
</file>

<file path=xl/sharedStrings.xml><?xml version="1.0" encoding="utf-8"?>
<sst xmlns="http://schemas.openxmlformats.org/spreadsheetml/2006/main" count="1863" uniqueCount="554">
  <si>
    <t>Supplement Brand</t>
  </si>
  <si>
    <t>NRC RA</t>
  </si>
  <si>
    <t>Concentration</t>
  </si>
  <si>
    <t>Dosage</t>
  </si>
  <si>
    <t>% of RA</t>
  </si>
  <si>
    <t>Amazon Price</t>
  </si>
  <si>
    <t>Amazon</t>
  </si>
  <si>
    <t>iHerb</t>
  </si>
  <si>
    <t>iHerb Price</t>
  </si>
  <si>
    <t>Servings</t>
  </si>
  <si>
    <t>NOW Pure Kelp Powder (450mcg/scoop)</t>
  </si>
  <si>
    <t>mcg</t>
  </si>
  <si>
    <t>BOTTLE</t>
  </si>
  <si>
    <t>URL</t>
  </si>
  <si>
    <t>SCOOP</t>
  </si>
  <si>
    <t>Wholistic Pet Organics Sea Kelp</t>
  </si>
  <si>
    <t>Unavailable</t>
  </si>
  <si>
    <t>TSP</t>
  </si>
  <si>
    <t>Solgar Kelp (200mcg/capsule)</t>
  </si>
  <si>
    <t>PILL</t>
  </si>
  <si>
    <t>Mary Ruth's Pure Iodine (125mcg/drop)</t>
  </si>
  <si>
    <t>DROP</t>
  </si>
  <si>
    <t>NOW Kelp Tablets (150mcg/tablet)</t>
  </si>
  <si>
    <t>Starwest Botanicals (437.5mcg/.125tsp)</t>
  </si>
  <si>
    <t>LB</t>
  </si>
  <si>
    <t>NOW E Oil (31.625IU/drop)</t>
  </si>
  <si>
    <t>mg</t>
  </si>
  <si>
    <t>IU</t>
  </si>
  <si>
    <t>NOW E Oil, Soy Free (8/drop)</t>
  </si>
  <si>
    <t>NOW Vitamin E Dry (400IU/Pill)</t>
  </si>
  <si>
    <t>Solgar Vitamin E (100IU/pill)</t>
  </si>
  <si>
    <t>Solgar Vitamin E (200IU/pill)</t>
  </si>
  <si>
    <t>Solgar Vitamin E (400IU/pill)</t>
  </si>
  <si>
    <t>Solgar Liquid Vitamin E (14.9IU/drop)</t>
  </si>
  <si>
    <t>Solgar Liquid Vitamin E (12.06IU/drop)</t>
  </si>
  <si>
    <t>Hempseed Oil</t>
  </si>
  <si>
    <t>g</t>
  </si>
  <si>
    <t>Flaxseed Oil</t>
  </si>
  <si>
    <t>Hempseeds (fresh ground)</t>
  </si>
  <si>
    <t>BAG</t>
  </si>
  <si>
    <t>G</t>
  </si>
  <si>
    <t>Chia Seeds (fresh ground)</t>
  </si>
  <si>
    <t>Flax Seeds (fresh ground)</t>
  </si>
  <si>
    <t>2 LB</t>
  </si>
  <si>
    <t>Solgar Chelated Manganese, 8mg</t>
  </si>
  <si>
    <t>Bluebonnet Chelated Manganese, 10mg</t>
  </si>
  <si>
    <t>Trace Minerals Research Liquid Manganese, 10mg</t>
  </si>
  <si>
    <t>Thorne Zinc Picolinate, 15mg</t>
  </si>
  <si>
    <t>Solgar Zinc Picolinate, 22mg</t>
  </si>
  <si>
    <t>Thorne Zinc Picolinate, 30mg</t>
  </si>
  <si>
    <t>NOW Zinc Picolinate, 50mg</t>
  </si>
  <si>
    <t>Trace Minerals Research Liquid Zinc, 50mg</t>
  </si>
  <si>
    <t>NOW Liquid Vitamin D3</t>
  </si>
  <si>
    <t>Thorne Vitamin D3 &amp; K2 Drops</t>
  </si>
  <si>
    <t>Carlson's Cod Liver Oil</t>
  </si>
  <si>
    <t>NOW Cod Liver Oil</t>
  </si>
  <si>
    <t>Solgar Iron Bisglycinate, 25mg</t>
  </si>
  <si>
    <t>Trace Minerals Research, Ionic Iron 22mg</t>
  </si>
  <si>
    <t>DROPS</t>
  </si>
  <si>
    <t>NOW Iron Bisglycinate, 18mg</t>
  </si>
  <si>
    <t>Thorne Iron Bisglycinate, 25mg</t>
  </si>
  <si>
    <t>One Body Magnesium Bisglycinate, 44mg</t>
  </si>
  <si>
    <t>BioSchwartz Magnesium Bisglycinate, 72mg</t>
  </si>
  <si>
    <t>Thorne Magnesium Bisglycinate, 200mg</t>
  </si>
  <si>
    <t>NOW Magnesium Bisglycinate, 250mg</t>
  </si>
  <si>
    <t>California Gold Magnesium Bisglycinate (100mg)</t>
  </si>
  <si>
    <t>Thorne Copper Bisglycinate, 2mg</t>
  </si>
  <si>
    <t>Solgar Chelated Copper, 2.5mg</t>
  </si>
  <si>
    <t>Coconut Oil, cold pressed</t>
  </si>
  <si>
    <t>TBSP</t>
  </si>
  <si>
    <t>NOW Sport MCT Oil</t>
  </si>
  <si>
    <t>Sunflower Oil, cold pressed</t>
  </si>
  <si>
    <t>NOW Full Spectrum Mineral Capsules</t>
  </si>
  <si>
    <t>Bluebonnet Chelated MultiMinerals, with Iron</t>
  </si>
  <si>
    <t>Bluebonnet Chelated MultiMinerals, without Iron</t>
  </si>
  <si>
    <t>Thorne BioMins, with Copper &amp; Iron</t>
  </si>
  <si>
    <t>Thorne BioMins II, without Copper &amp; Iron</t>
  </si>
  <si>
    <t>KAL Bone Meal</t>
  </si>
  <si>
    <t>NOW Bone Meal</t>
  </si>
  <si>
    <t>NOW Calcium Carbonate Powder</t>
  </si>
  <si>
    <t>NOW Calcium &amp; Magnesium</t>
  </si>
  <si>
    <t>NOW Calcium Citrate Powder</t>
  </si>
  <si>
    <t>Animal Essentials Seaweed Calcium</t>
  </si>
  <si>
    <t>Egg Shell Powder</t>
  </si>
  <si>
    <t>Homemade</t>
  </si>
  <si>
    <t>Nutritional Yeast</t>
  </si>
  <si>
    <t>Solgar B12 Liquid</t>
  </si>
  <si>
    <t>NOW B 50</t>
  </si>
  <si>
    <t>Thorne Basic B Complex</t>
  </si>
  <si>
    <t>Grizzly Salmon &amp; Pollock Fish Oil</t>
  </si>
  <si>
    <t>mL</t>
  </si>
  <si>
    <t>PUMP</t>
  </si>
  <si>
    <t>Dr. Harvey's Health &amp; Shine Fish Oil</t>
  </si>
  <si>
    <t>Nordic Naturals Fish Oil, Large Pet</t>
  </si>
  <si>
    <t>Bonnie &amp; Clyde Fish Oil</t>
  </si>
  <si>
    <t>NOW Taurine Pure Powder</t>
  </si>
  <si>
    <t>Herbsmith Taurine Boost</t>
  </si>
  <si>
    <t>Dr. Harvey's Paradigm</t>
  </si>
  <si>
    <t>3 LB</t>
  </si>
  <si>
    <t>Dr. Harvey's Raw Vibrance</t>
  </si>
  <si>
    <t>Dr. Harvey's Canine Heath</t>
  </si>
  <si>
    <t>5 LB</t>
  </si>
  <si>
    <t>Dr. Harvey's Veg-to-Bowl</t>
  </si>
  <si>
    <t>NOW Psyllium Husk Powder</t>
  </si>
  <si>
    <t>1.5 LB</t>
  </si>
  <si>
    <t>Starwest Botanicals Psyllium Husk Powder</t>
  </si>
  <si>
    <t>1 LB</t>
  </si>
  <si>
    <t>Dr. Mercola Pet Enzymes</t>
  </si>
  <si>
    <t>NOW Pancreatin</t>
  </si>
  <si>
    <t>NOW Super Enzymes</t>
  </si>
  <si>
    <t>DIET FORMULATED FOR:</t>
  </si>
  <si>
    <t>FORMULATION COMPLETED ON:</t>
  </si>
  <si>
    <t>DIET FORMULATED BY:</t>
  </si>
  <si>
    <t>Terms &amp; Conditions</t>
  </si>
  <si>
    <t>The Business</t>
  </si>
  <si>
    <t>Perfectly Rawsome</t>
  </si>
  <si>
    <t>info@perfectlyrawsome.com</t>
  </si>
  <si>
    <t>The Client</t>
  </si>
  <si>
    <t>Pet Name</t>
  </si>
  <si>
    <t xml:space="preserve">Perfectly Rawsome will provide custom meal plan services for dogs and cats. The formulation services provide balanced recipe(s), nutritional analysis, and a shopping list. Perfectly Rawsome does not provide prepared meals. All ingredients must be purchased from local resources, online suppliers, pet food distributors, or co-ops once services are completed. Perfectly Rawsome uses individual ingredients of muscle meat, raw bones, organs, and supplements for recipe formulation. Formulation services do not utilize 80/10/10 blends. All recipes formulated by Perfectly Rawsome are intended to be fed as is and any substitutions may affect the balance of the recipe. Perfectly Rawsome services are for personal use only and are not intended for commercial use or to be resold in anyway. Perfectly Rawsome reserves the right to terminate any service at any time, at the business' discretion, with no refund. Full payment is due upon sign up and Perfectly Rawsome has a 72 hour refund policy. Upon payment the client has 72 hours to cancel services and request a refund. After 72 hours no refund will be issued. Perfectly Rawsome will not be held responsible for any illness and/or injuries, including death, or property damage caused by any pet who has received a custom meal plan. </t>
  </si>
  <si>
    <t>UNBALANCED PMR RECIPE</t>
  </si>
  <si>
    <t>PET NAME</t>
  </si>
  <si>
    <t>Life Stage</t>
  </si>
  <si>
    <t>Daily Calorie Requirements</t>
  </si>
  <si>
    <t>Feeding Percentage</t>
  </si>
  <si>
    <t>Estimated Daily Intake</t>
  </si>
  <si>
    <t>Recipe</t>
  </si>
  <si>
    <t>Ingredients</t>
  </si>
  <si>
    <t>Amount</t>
  </si>
  <si>
    <t>Calories</t>
  </si>
  <si>
    <t>OZ</t>
  </si>
  <si>
    <t>KCAL</t>
  </si>
  <si>
    <t>Recipe Macro Nutrients – As Fed</t>
  </si>
  <si>
    <t>Recipe Macro Nutrients – Dry Matter</t>
  </si>
  <si>
    <t>Moisture</t>
  </si>
  <si>
    <t>Protein</t>
  </si>
  <si>
    <t>Fat</t>
  </si>
  <si>
    <t>Carbohydrate</t>
  </si>
  <si>
    <t>Fiber</t>
  </si>
  <si>
    <t>Ash</t>
  </si>
  <si>
    <t>Nutritional Standard</t>
  </si>
  <si>
    <t>NRC 2006</t>
  </si>
  <si>
    <t>Species</t>
  </si>
  <si>
    <t>ADULT MAINTENANCE</t>
  </si>
  <si>
    <t>Recipe Calories</t>
  </si>
  <si>
    <t>Amino Acids</t>
  </si>
  <si>
    <t>Nutrients In Recipe</t>
  </si>
  <si>
    <t>NRC Minimum Requirement</t>
  </si>
  <si>
    <t>NRC Recommended Allowance</t>
  </si>
  <si>
    <t>Crude Protein</t>
  </si>
  <si>
    <t>Arginine</t>
  </si>
  <si>
    <t>Histidine</t>
  </si>
  <si>
    <t>Isoleucine</t>
  </si>
  <si>
    <t>Methionine</t>
  </si>
  <si>
    <t>Methionine &amp; Cystine</t>
  </si>
  <si>
    <t>Leucine</t>
  </si>
  <si>
    <t>Lysine</t>
  </si>
  <si>
    <t>Phenylalanine</t>
  </si>
  <si>
    <t>Phenylalanine &amp; Tyrosine</t>
  </si>
  <si>
    <t>Threonine</t>
  </si>
  <si>
    <t>Tryptophan</t>
  </si>
  <si>
    <t>Valine</t>
  </si>
  <si>
    <t>Taurine</t>
  </si>
  <si>
    <t>Fats &amp; Fatty Acids</t>
  </si>
  <si>
    <t>Total Fat</t>
  </si>
  <si>
    <t>Linoleic Acid</t>
  </si>
  <si>
    <t>Alpha-Linolenic Acid</t>
  </si>
  <si>
    <t>Arachidonic Acid</t>
  </si>
  <si>
    <t>EPA &amp; DHA</t>
  </si>
  <si>
    <t>Vitamins</t>
  </si>
  <si>
    <t>Vitamin A</t>
  </si>
  <si>
    <t>Vitamin D</t>
  </si>
  <si>
    <t>Vitamin E</t>
  </si>
  <si>
    <t>Thiamin (B1)</t>
  </si>
  <si>
    <t>Riboflavin (B2)</t>
  </si>
  <si>
    <t>Niacin (B3)</t>
  </si>
  <si>
    <t>Pantothenic Acid (B5)</t>
  </si>
  <si>
    <t>Pyridoxine (B6)</t>
  </si>
  <si>
    <t>Biotin (B7)</t>
  </si>
  <si>
    <t>Folic Acid (B9)</t>
  </si>
  <si>
    <t>Cobalamin (B12)</t>
  </si>
  <si>
    <t>Choline</t>
  </si>
  <si>
    <t>USDA's nutritional data on food is lacking choline data. However, this does not mean that the recipe is choline deficient. Choline is commonly available in raw meats and organs. Additionally, dogs and cats have the ability to biosynthesize choline when consuming a high protein diet. Raw and home cooked diets exceed protein levels commonly found in dry pet food. Therefor the levels of choline listed in the analysis do not warrant the addtion of a choline supplement.</t>
  </si>
  <si>
    <t>Minerals</t>
  </si>
  <si>
    <t>Calcium</t>
  </si>
  <si>
    <t>Phosphorus</t>
  </si>
  <si>
    <t>All Growth &amp; Development Meal Plans are formulated to exceed minimium requirements for Calcium and is formulated to maintain the ideal balance with Phosphorus. The amount of Phosphorus in the recipe exceeds FEDIAF's minimum requirement for Phosphorous (2.25g/1000kcal).</t>
  </si>
  <si>
    <t>Magnesium</t>
  </si>
  <si>
    <t>Sodium</t>
  </si>
  <si>
    <t>Potassium</t>
  </si>
  <si>
    <t>Chloride</t>
  </si>
  <si>
    <t>Iron</t>
  </si>
  <si>
    <t>Copper</t>
  </si>
  <si>
    <t>Zinc</t>
  </si>
  <si>
    <t>Manganese</t>
  </si>
  <si>
    <t>Selenium</t>
  </si>
  <si>
    <t>Iodine</t>
  </si>
  <si>
    <t>Due to the prevelance of Hyperthyroidism in cats, this recipe has been intentionally formulated to meet NRC's Minimum Iodine requirement for adult dogs (220mcg/1000kcal). Therefore, this recipe will display as iodine deficient in accordance to NRC's Iodine requirements for adult cats and kittens.</t>
  </si>
  <si>
    <t>Nutirent Balance</t>
  </si>
  <si>
    <t>Calcium : Phosphorus (Ca:P)</t>
  </si>
  <si>
    <t>LA : ALA</t>
  </si>
  <si>
    <t>GROWTH &amp; DEVELOPMENT</t>
  </si>
  <si>
    <t>Total Days Calculated</t>
  </si>
  <si>
    <t>Total Number of Recipes</t>
  </si>
  <si>
    <t>Estimated Daily Budget</t>
  </si>
  <si>
    <t>MEAL PREP FOOD LIST</t>
  </si>
  <si>
    <t>Meal Prep Recipe Ingredients</t>
  </si>
  <si>
    <t>Price</t>
  </si>
  <si>
    <t>/</t>
  </si>
  <si>
    <t>Rabbit, skinless, without organs, without fur</t>
  </si>
  <si>
    <t>Rabbit Heart</t>
  </si>
  <si>
    <t>Rabbit Liver</t>
  </si>
  <si>
    <t>Nutritionist Name</t>
  </si>
  <si>
    <t>Ronny LeJeune</t>
  </si>
  <si>
    <t>Primary Service</t>
  </si>
  <si>
    <t>All Life Stage Single Recipe</t>
  </si>
  <si>
    <t>Adjustment Service</t>
  </si>
  <si>
    <t>All Life Stage Recipe Formulation Adjustment</t>
  </si>
  <si>
    <t>Adjustment Fee</t>
  </si>
  <si>
    <t>Date</t>
  </si>
  <si>
    <t>Dog</t>
  </si>
  <si>
    <t>ALL LIFE STAGE</t>
  </si>
  <si>
    <t>Current Weight</t>
  </si>
  <si>
    <t>Ideal Weight</t>
  </si>
  <si>
    <t>Daily Calories</t>
  </si>
  <si>
    <t>Shopping List Days</t>
  </si>
  <si>
    <t>Supplement Source</t>
  </si>
  <si>
    <t>Client Name</t>
  </si>
  <si>
    <t>VIP MEMBERSHIP RECIPE</t>
  </si>
  <si>
    <t>Vitamin E IU/LB</t>
  </si>
  <si>
    <t>Iodine MCG/1000kcal</t>
  </si>
  <si>
    <t>Nutrient Report</t>
  </si>
  <si>
    <t>Saturday, June 01, 2024 07:57 AM</t>
  </si>
  <si>
    <t>Membership - PMR - Dog - Rabbit - ALS - Raw</t>
  </si>
  <si>
    <t>Recipe Gram Weight:</t>
  </si>
  <si>
    <t>Recipe Calories ( Kcal ):</t>
  </si>
  <si>
    <t>Crude Protein (g):</t>
  </si>
  <si>
    <t>Total Fat (g):</t>
  </si>
  <si>
    <t xml:space="preserve">    Saturated (g):</t>
  </si>
  <si>
    <t xml:space="preserve">    Monounsaturated (g):</t>
  </si>
  <si>
    <t xml:space="preserve">    Polyunsaturated (g):</t>
  </si>
  <si>
    <t xml:space="preserve">    Trans (g):</t>
  </si>
  <si>
    <t>Total Carbohydrate (g):</t>
  </si>
  <si>
    <t xml:space="preserve">    Dietary Fiber (g):</t>
  </si>
  <si>
    <t>Moisture (g):</t>
  </si>
  <si>
    <t>Ash (g):</t>
  </si>
  <si>
    <t>Total Sugars (g):</t>
  </si>
  <si>
    <t xml:space="preserve">    Sucrose (g):</t>
  </si>
  <si>
    <t xml:space="preserve">    Fructose (g):</t>
  </si>
  <si>
    <t xml:space="preserve">    Lactose (g):</t>
  </si>
  <si>
    <t>As fed</t>
  </si>
  <si>
    <t>% of calories</t>
  </si>
  <si>
    <t>Dry Matter</t>
  </si>
  <si>
    <t>17.54 %</t>
  </si>
  <si>
    <t>55.62 %</t>
  </si>
  <si>
    <t>67.00 %</t>
  </si>
  <si>
    <t>6.22 %</t>
  </si>
  <si>
    <t>44.38 %</t>
  </si>
  <si>
    <t>23.76 %</t>
  </si>
  <si>
    <t>Carbohydrate1</t>
  </si>
  <si>
    <t>0 %</t>
  </si>
  <si>
    <t>73.82 %</t>
  </si>
  <si>
    <t>0.00 %</t>
  </si>
  <si>
    <t>2.74 %</t>
  </si>
  <si>
    <t>10.47 %</t>
  </si>
  <si>
    <t>Energy Analysis</t>
  </si>
  <si>
    <t>Kilocalories per gram:</t>
  </si>
  <si>
    <t>Kilocalories per ounce:</t>
  </si>
  <si>
    <t>Grams of Protein per 1000 Kcal:</t>
  </si>
  <si>
    <t>Kilocalories per pound:</t>
  </si>
  <si>
    <t>Grams of Fat per 1000 Kcal:</t>
  </si>
  <si>
    <t>Kilocalories per pound (DM):</t>
  </si>
  <si>
    <t>Grams of Carbohydrate per 1000 Kcal:</t>
  </si>
  <si>
    <t>Kilocalories per kilogram:</t>
  </si>
  <si>
    <t>Grams of Fiber per 1000 Kcal:</t>
  </si>
  <si>
    <t>Kilocalories per kilogram (DM):</t>
  </si>
  <si>
    <t>Arginine (g)</t>
  </si>
  <si>
    <t>Vitamin A (mcg), or</t>
  </si>
  <si>
    <t>Histidine (g)</t>
  </si>
  <si>
    <t>Vitamin A (retinol) (IU)2, or</t>
  </si>
  <si>
    <t>Isoleucine (g)</t>
  </si>
  <si>
    <t>Vitamin A (beta-carotene) (IU)3</t>
  </si>
  <si>
    <t>Methionine (g)</t>
  </si>
  <si>
    <t>Vitamin D (mcg), or</t>
  </si>
  <si>
    <t>Cystine (g)</t>
  </si>
  <si>
    <t>Vitamin D (IU)</t>
  </si>
  <si>
    <t>Methionine &amp; Cystine (g)</t>
  </si>
  <si>
    <t>Vitamin E (mg), or</t>
  </si>
  <si>
    <t>Leucine (g)</t>
  </si>
  <si>
    <t>Vitamin E (d-α-Tocopherol) (IU)4, or</t>
  </si>
  <si>
    <t>Lysine (g)</t>
  </si>
  <si>
    <t>Vitamin E (dl-α-Tocopherol) (IU)5</t>
  </si>
  <si>
    <t>Phenylalanine (g)</t>
  </si>
  <si>
    <t>Vitamin K (mg)</t>
  </si>
  <si>
    <t>Tyrosine (g)</t>
  </si>
  <si>
    <t>Vitamin C (mg)</t>
  </si>
  <si>
    <t>Phenylalanine &amp; Tyrosine (g)</t>
  </si>
  <si>
    <t>Thiamin (B1) (mg)</t>
  </si>
  <si>
    <t>Threonine (g)</t>
  </si>
  <si>
    <t>Riboflavin (B2) (mg)</t>
  </si>
  <si>
    <t>Tryptophan (g)</t>
  </si>
  <si>
    <t>Niacin (B3) (mg)</t>
  </si>
  <si>
    <t>Valine (g)</t>
  </si>
  <si>
    <t>Pantothenic Acid (B5) (mg)</t>
  </si>
  <si>
    <t>Glutamic Acid (g)</t>
  </si>
  <si>
    <t>Pyridoxine (B6) (mg)</t>
  </si>
  <si>
    <t>Glycine (g)</t>
  </si>
  <si>
    <t>Biotin (B7) (mcg)</t>
  </si>
  <si>
    <t>Taurine (g)</t>
  </si>
  <si>
    <t>Folic Acid (B9) (mcg)</t>
  </si>
  <si>
    <t>Cobalamin (B12) (mcg)</t>
  </si>
  <si>
    <t>Fatty Acids</t>
  </si>
  <si>
    <t>Choline (mg)</t>
  </si>
  <si>
    <t>Linoleic Acid (g)</t>
  </si>
  <si>
    <t>Alpha-Linolenic Acid (g)</t>
  </si>
  <si>
    <t>Arachidonic Acid (g)</t>
  </si>
  <si>
    <t>Calcium (g)</t>
  </si>
  <si>
    <t>Eicosapentaenoic Acid (EPA) (g)</t>
  </si>
  <si>
    <t>Phosphorus (g)</t>
  </si>
  <si>
    <t>Docosahexaenoic Acid (DHA) (g)</t>
  </si>
  <si>
    <t>Magnesium (mg)</t>
  </si>
  <si>
    <t>EPA &amp; DHA (g)</t>
  </si>
  <si>
    <t>Sodium (mg)</t>
  </si>
  <si>
    <t>Conjugated Linoleic Acid (CLA) (g)</t>
  </si>
  <si>
    <t>Potassium (g)</t>
  </si>
  <si>
    <t>Gamma Linolenic Acid (GLA) (g)</t>
  </si>
  <si>
    <t>Chloride (mg)</t>
  </si>
  <si>
    <t>Iron (mg)</t>
  </si>
  <si>
    <t>Anti Nutrients6</t>
  </si>
  <si>
    <t>Copper (mg)</t>
  </si>
  <si>
    <t>Zinc (mg)</t>
  </si>
  <si>
    <t>Alcohol (g)</t>
  </si>
  <si>
    <t>Manganese (mg)</t>
  </si>
  <si>
    <t>Caffeine (mg)</t>
  </si>
  <si>
    <t>Selenium (mcg)</t>
  </si>
  <si>
    <t>Theobromine (mg)</t>
  </si>
  <si>
    <t>Iodine (mcg)</t>
  </si>
  <si>
    <t>Ratios</t>
  </si>
  <si>
    <t>1.02 : 1</t>
  </si>
  <si>
    <t>LA : ALA8</t>
  </si>
  <si>
    <t>34.49 : 1</t>
  </si>
  <si>
    <t>omega-6 : omega-37</t>
  </si>
  <si>
    <t>25.34 : 1</t>
  </si>
  <si>
    <t>EPA : DHA9</t>
  </si>
  <si>
    <t>0.23 : 1</t>
  </si>
  <si>
    <t>Unit</t>
  </si>
  <si>
    <t>Ingredient</t>
  </si>
  <si>
    <t>Gram</t>
  </si>
  <si>
    <t>Kcal</t>
  </si>
  <si>
    <t>ID10</t>
  </si>
  <si>
    <t>gram</t>
  </si>
  <si>
    <t>Footnotes</t>
  </si>
  <si>
    <t>Calculated.</t>
  </si>
  <si>
    <t>Retinol is pre-formed Vitamin A from animal sources.</t>
  </si>
  <si>
    <t>Beta Carotene comes from plants and gets converted to Vitamin A by the body.</t>
  </si>
  <si>
    <t>Vitamin E if the product label has D-Alpha-tocopherol as the ingredient. Naturally sourced vitamin E is called d-alpha-tocopherol.</t>
  </si>
  <si>
    <t>Vitamin E if the product label has DL-Alpha-tocopherol as the ingredient. The synthetically produced form of Vitamin E is dl-alpha-tocopherol.</t>
  </si>
  <si>
    <t>Anti nutrients should not be a part of your pet's diet. Values of 0.00 are good. Values above zero are not good and ingredients containing alcohol, caffeine, or theobromine should be removed from the recipe.</t>
  </si>
  <si>
    <t>Omega-6 fatty acids used in this ratio calculation are: Linoleic acid (LA), Gamma-linolenic acid (GLA), Arachidonic acid (AA), Eicosadienoic acid, Dihomo-gamma-linolenic acid (DGLA), and Adrenic acid. Omega-3 fatty acids used in this calculation are: Docosapentaenoic acid (DPA), Docosahexaenoic acid (DHA), Eicosapentaenoic acid (EPA), α-Linolenic acid (ALA), Stearidonic acid (SDA), Eicosatrienoic acid (ETE), and Heneicosapentaenoic acid (HPA).</t>
  </si>
  <si>
    <t>Linoleic acid (LA) : α-Linolenic acid (ALA)</t>
  </si>
  <si>
    <t>Eicosapentaenoic acid (EPA) : Docosahexaenoic acid (DHA)</t>
  </si>
  <si>
    <t>ID numbers come from Pet Diet Designer for Windows (http://www.petdietdesigner.com). Numbers beginning with "U" are User-Defined.</t>
  </si>
  <si>
    <t>Notes:</t>
  </si>
  <si>
    <t>Missing values either means that the data does not exist in our database or that there are no values for that nutrient.</t>
  </si>
  <si>
    <t>Page 1 of 1</t>
  </si>
  <si>
    <t>Cooked Weights</t>
  </si>
  <si>
    <t>Raw Weights - Shopping List</t>
  </si>
  <si>
    <t xml:space="preserve">Muscle Meat </t>
  </si>
  <si>
    <t>Tripe or Mussels</t>
  </si>
  <si>
    <t>Heart</t>
  </si>
  <si>
    <t>RMB 1</t>
  </si>
  <si>
    <t>RMB 2</t>
  </si>
  <si>
    <t>Fish</t>
  </si>
  <si>
    <t>Oysters, canned in water</t>
  </si>
  <si>
    <t>Liver</t>
  </si>
  <si>
    <t>Kidney/Spleen</t>
  </si>
  <si>
    <t>Vegetable 1</t>
  </si>
  <si>
    <t>Vegetable 2</t>
  </si>
  <si>
    <t>Egg</t>
  </si>
  <si>
    <t>DOZ</t>
  </si>
  <si>
    <t xml:space="preserve">DAILY SUPPLEMENTS </t>
  </si>
  <si>
    <t>Nutritional Supplements Added Daily</t>
  </si>
  <si>
    <t>Item</t>
  </si>
  <si>
    <t>ALA 1</t>
  </si>
  <si>
    <t>Fish Oil</t>
  </si>
  <si>
    <t>BATCH PREP SUPPLEMENTS</t>
  </si>
  <si>
    <t>Batch Prep Nutritional Supplements</t>
  </si>
  <si>
    <t>Dry Iodine</t>
  </si>
  <si>
    <t>B Complex</t>
  </si>
  <si>
    <t>Dry Zinc</t>
  </si>
  <si>
    <t>Dry Manganese</t>
  </si>
  <si>
    <t>Dry Iron</t>
  </si>
  <si>
    <t>Dr. Harvey's Dehydrated Vegetables</t>
  </si>
  <si>
    <t>BATCH PREP SUPPLEMENT INSTRUCTIONS</t>
  </si>
  <si>
    <t>BALANCED RECIPE</t>
  </si>
  <si>
    <t>Sweet Potato, cooked</t>
  </si>
  <si>
    <t>Green Beans, raw, chopped or pureed</t>
  </si>
  <si>
    <t xml:space="preserve">Mineral Salt, pink or grey </t>
  </si>
  <si>
    <t>DAILY SUPPLEMENTS</t>
  </si>
  <si>
    <t>Saturday, June 01, 2024 08:00 AM</t>
  </si>
  <si>
    <t>Copy of  Membership - Balanced - Dog - Rabbit - ALS - Raw</t>
  </si>
  <si>
    <t>15.48 %</t>
  </si>
  <si>
    <t>44.78 %</t>
  </si>
  <si>
    <t>54.93 %</t>
  </si>
  <si>
    <t>7.77 %</t>
  </si>
  <si>
    <t>50.57 %</t>
  </si>
  <si>
    <t>27.57 %</t>
  </si>
  <si>
    <t>1.42 %</t>
  </si>
  <si>
    <t>4.11 %</t>
  </si>
  <si>
    <t>5.04 %</t>
  </si>
  <si>
    <t>0.38 %</t>
  </si>
  <si>
    <t>0.55 %</t>
  </si>
  <si>
    <t>1.35 %</t>
  </si>
  <si>
    <t>71.82 %</t>
  </si>
  <si>
    <t>3.13 %</t>
  </si>
  <si>
    <t>11.11 %</t>
  </si>
  <si>
    <t>1.23 : 1</t>
  </si>
  <si>
    <t>6.68 : 1</t>
  </si>
  <si>
    <t>4.80 : 1</t>
  </si>
  <si>
    <t>0.76 : 1</t>
  </si>
  <si>
    <t>tsp</t>
  </si>
  <si>
    <t>U0069</t>
  </si>
  <si>
    <t>tbsp</t>
  </si>
  <si>
    <t>pill</t>
  </si>
  <si>
    <t>U0059</t>
  </si>
  <si>
    <t>U0035</t>
  </si>
  <si>
    <t>U0014</t>
  </si>
  <si>
    <t>U0070</t>
  </si>
  <si>
    <t>OBESITY PREVENTION</t>
  </si>
  <si>
    <t>PETS WHO MAINTAIN HEALTHY BODY WEIGHT LIVE UP TO</t>
  </si>
  <si>
    <t xml:space="preserve">A pet's physcial body condition is the best method to use to identify if more or less food is required to maintain ideal body weight. The chart below provides the best guideline to determine a dog or cat's body condition score. Increasing daily food intake is recommended if a pet is underweight. Decreasing daily food is recommended if a pet is overweight or obese. </t>
  </si>
  <si>
    <r>
      <rPr>
        <rFont val="Archivo Black"/>
        <color rgb="FF99222A"/>
        <sz val="50.0"/>
      </rPr>
      <t xml:space="preserve">2.5
</t>
    </r>
    <r>
      <rPr>
        <rFont val="Archivo Black"/>
        <color rgb="FF99222A"/>
        <sz val="16.0"/>
      </rPr>
      <t>YEARS LONGER</t>
    </r>
  </si>
  <si>
    <t>* 2019 Estimation provided by
Banfield Pet Hospital.</t>
  </si>
  <si>
    <t>UNDERWEIGHT</t>
  </si>
  <si>
    <t>IDEAL WEIGHT</t>
  </si>
  <si>
    <t>OVERWEIGHT</t>
  </si>
  <si>
    <t>OBESE</t>
  </si>
  <si>
    <t>UNHEALTHY</t>
  </si>
  <si>
    <t>HEALTHY</t>
  </si>
  <si>
    <t>BCS 1-3/9</t>
  </si>
  <si>
    <t>BCS 4-6/9</t>
  </si>
  <si>
    <t>BCS 7/9</t>
  </si>
  <si>
    <t>BCS 8-9/9</t>
  </si>
  <si>
    <t>Lightly glide your fingers over your knuckles as you make a fist. A dog’s or cat’s body condition is underweight if their entire ribcage feels similar to this.</t>
  </si>
  <si>
    <t>Open your hand and face your palm down. Lightly glide your fingers over your knuckles. A dog’s or cat’s body condition is ideal if their entire ribcage feels similar to this.</t>
  </si>
  <si>
    <t>Open your hand and face your palm up. Lightly glide your fingers over the base of your fingers. A dog’s or cat’s body condition is overweight if their entire ribcage feels similar to this.</t>
  </si>
  <si>
    <t>Open your hand and face your palm up. Lightly glide your fingers over the base of your thumb. A dog’s or cat’s body condition is obese if their entire ribcage feels similar to this.</t>
  </si>
  <si>
    <t>IS YOUR PET OVERWEIGHT?</t>
  </si>
  <si>
    <t>OBESITY IS THE LEADING CAUSE OF DISEASE IN PETS</t>
  </si>
  <si>
    <r>
      <rPr>
        <sz val="14.0"/>
      </rPr>
      <t xml:space="preserve">A pet is classified as </t>
    </r>
    <r>
      <rPr>
        <b/>
        <i/>
        <color rgb="FF99222A"/>
        <sz val="16.0"/>
      </rPr>
      <t>Overweight</t>
    </r>
    <r>
      <rPr>
        <sz val="14.0"/>
      </rPr>
      <t xml:space="preserve"> when their current body weight is 10% to 20% above their ideal body weight. A pet is classified as </t>
    </r>
    <r>
      <rPr>
        <b/>
        <i/>
        <color rgb="FF99222A"/>
        <sz val="16.0"/>
      </rPr>
      <t>Obese</t>
    </r>
    <r>
      <rPr>
        <sz val="14.0"/>
      </rPr>
      <t xml:space="preserve"> when their current body weight is 20% to 30% above their ideal body weight. </t>
    </r>
    <r>
      <rPr>
        <b/>
        <i/>
        <color rgb="FF99222A"/>
        <sz val="16.0"/>
      </rPr>
      <t>Morbid Obesity</t>
    </r>
    <r>
      <rPr>
        <sz val="14.0"/>
      </rPr>
      <t xml:space="preserve"> is 30% and over ideal body weight.</t>
    </r>
  </si>
  <si>
    <t>Arthritis</t>
  </si>
  <si>
    <t>Heat Intolerance</t>
  </si>
  <si>
    <t>Bladder Stones</t>
  </si>
  <si>
    <t>Heart Diesease</t>
  </si>
  <si>
    <t>Cancer</t>
  </si>
  <si>
    <t>Hypertension</t>
  </si>
  <si>
    <t>Cushings</t>
  </si>
  <si>
    <t>Hypothyroidism</t>
  </si>
  <si>
    <t>Diabetes</t>
  </si>
  <si>
    <t>Ligament Injuries</t>
  </si>
  <si>
    <t>DIET IMPROVEMENTS</t>
  </si>
  <si>
    <t>Dogs and cats consistently loose weight when calories are managed and carbohydrates are reduced. The amount of carbohydrates in processed pet foods is 35-70% higher than the amount recommended for weight loss.</t>
  </si>
  <si>
    <t>PET FOOD MACRONUTRIENT COMPARISON DATA</t>
  </si>
  <si>
    <t>Recommended for Weight Loss</t>
  </si>
  <si>
    <t>Averages in Dry Pet Food</t>
  </si>
  <si>
    <t>15-20%</t>
  </si>
  <si>
    <t>20-30%</t>
  </si>
  <si>
    <t>7-9%</t>
  </si>
  <si>
    <t>10-20%</t>
  </si>
  <si>
    <t>1-2%</t>
  </si>
  <si>
    <t>Carbohydrates</t>
  </si>
  <si>
    <t>46-76%</t>
  </si>
  <si>
    <t>65-80%</t>
  </si>
  <si>
    <t>0-1%</t>
  </si>
  <si>
    <t>HOME PREPARED, HIGH PROTEIN &amp; LOW CARB
RAW &amp; COOKED DOG FOOD</t>
  </si>
  <si>
    <t xml:space="preserve">High protein and low carbohydrate home prepared diets provide
multiple benefits to fuel weight loss. </t>
  </si>
  <si>
    <t>✓</t>
  </si>
  <si>
    <t>Protects Lean Muscle Mass</t>
  </si>
  <si>
    <t>Decreases Blood Insulin</t>
  </si>
  <si>
    <t>* 2016 Estimation provided by the Association for Pet
Obesity Prevention (APOP). Statistics are similar for pets around the world.</t>
  </si>
  <si>
    <t>Stabilizes Blood Glucose</t>
  </si>
  <si>
    <t>Reduces Body Fat</t>
  </si>
  <si>
    <t>FREQUENTLY ASKED QUESTIONS</t>
  </si>
  <si>
    <t>Can I feed the custom meal plan recipe(s) indefinitely?</t>
  </si>
  <si>
    <t>Can I substitute different ingredients in the recipe?</t>
  </si>
  <si>
    <t xml:space="preserve">The recipes are balanced as is and ingredient substitutions will affect the nutritional balance. The recipes are made to be fed as is without ingredient substitutions. However, there are certain ingredient substitutions that are possible without causing nutritional deficiencies. We have created a substitution guideline for custom meal plan clients to use if sourcing recipe ingredients becomes unpredictable. Any other ingredient substitutions will require recipe reformulation. </t>
  </si>
  <si>
    <t>Ingredient Substitution Guideline</t>
  </si>
  <si>
    <t>Are the recipes a single meal or a whole day's worth of food?</t>
  </si>
  <si>
    <t>Are the supplements in the recipes necessary and safe?</t>
  </si>
  <si>
    <t>All supplements listed in the recipe are required and should not be eliminated without reformulation. The supplements listed are from human grade brands that operate in an FDA certified facility and are GMP certified. These brands perform third party purity tests and provide the nutritional analysis on their supplements. This criteria is important in ensuring the supplement is of high quality and provides the nutrients required for the recipes. Each supplement dosage has been calculated to ensure they provide the essential nutrients required for optimal health without exceeding Safe Upper Limits (this avoids toxicity). Removing the supplements listed in the recipe should be avoided as it will result in nutritional deficiencies.</t>
  </si>
  <si>
    <t>What if I need to make changes to my custom meal plan recipes?</t>
  </si>
  <si>
    <t>The custom meal plans are intended to be formulated with ingredients from the homework assignment that pet parents can purchase at their local markets or from an online supplier of choice. Therefore, the recipes are formulated based on the completed homework assignment. Commonly sourced ingredients will be used if the homework assignment is not completed. Each custom meal plan includes 1 round of free minor revisions within the 2 week support period.
The free adjustments are comprised of minor recipe tweaks that include up to 2 total ingredient changes. However, recipe adjustments beyond 2 ingredient changes will require a fee to accomodate the additional formulation time. The price below reflects the service cost for 1 recipe formulation adjustment.</t>
  </si>
  <si>
    <t>* The pricing above is valid until December 31, 2022.</t>
  </si>
  <si>
    <t>Yield %</t>
  </si>
  <si>
    <t>Reduction</t>
  </si>
  <si>
    <t>Chicken Breast, boneless, skinless, cooked</t>
  </si>
  <si>
    <t>Chicken or Turkey Breast, boneless, skinless, cooked</t>
  </si>
  <si>
    <t>Chicken Thigh, boneless, skinless, cooked</t>
  </si>
  <si>
    <t>Chicken or Turkey Thigh, boneless, skinless, cooked</t>
  </si>
  <si>
    <t>Chicken Liver, cooked</t>
  </si>
  <si>
    <t>Chicken Heart, cooked</t>
  </si>
  <si>
    <t>Chicken Gizzards, cooked</t>
  </si>
  <si>
    <t>Salmon, cooked or canned in water</t>
  </si>
  <si>
    <t>Mackerel, cooked or canned in water</t>
  </si>
  <si>
    <t>Sardines, cooked or canned in water</t>
  </si>
  <si>
    <t>Herring, cooked or canned in water</t>
  </si>
  <si>
    <t>Ground Turkey, 93% lean, 7% fat, cooked</t>
  </si>
  <si>
    <t>Turkey Breast, boneless, skinless, cooked</t>
  </si>
  <si>
    <t>Turkey Thigh, boneless, skinless, cooked</t>
  </si>
  <si>
    <t>Turkey Liver, cooked</t>
  </si>
  <si>
    <t>Turkey Heart, cooked</t>
  </si>
  <si>
    <t>Turkey Gizzard, cooked</t>
  </si>
  <si>
    <t>Chicken or Turkey Gizzard, cooked</t>
  </si>
  <si>
    <t>Duck Breast, boneless, skinless, cooked</t>
  </si>
  <si>
    <t>Duck Liver, cooked</t>
  </si>
  <si>
    <t>Duck Gizzard, cooked</t>
  </si>
  <si>
    <t>Duck Heart, cooked</t>
  </si>
  <si>
    <t>Beef Round, lean, cooked</t>
  </si>
  <si>
    <t>Ground Beef, 95% lean, 5% fat, cooked</t>
  </si>
  <si>
    <t>Ground Beef, 90% lean, 10% fat, cooked</t>
  </si>
  <si>
    <t>Ground Beef, 85% lean, 15% fat, cooked</t>
  </si>
  <si>
    <t>Ground Beef, 80% lean, 20% fat, cooked</t>
  </si>
  <si>
    <t>Beef Liver, cooked</t>
  </si>
  <si>
    <t>Beef Kidney, cooked</t>
  </si>
  <si>
    <t>Beef or Pork Kidney, cooked</t>
  </si>
  <si>
    <t>Beef, Lamb or Pork Kidney, cooked</t>
  </si>
  <si>
    <t>Beef Spleen, cooked</t>
  </si>
  <si>
    <t>Beef Heart, fat removed, cooked</t>
  </si>
  <si>
    <t>Pork Loin, fat removed, cooked</t>
  </si>
  <si>
    <t>Pork Liver, cooked</t>
  </si>
  <si>
    <t>Pork Kidney, cooked</t>
  </si>
  <si>
    <t>Pork Spleen, cooked</t>
  </si>
  <si>
    <t>Pork Heart, cooked</t>
  </si>
  <si>
    <t>Lamb Shoulder, boneless, lean, cooked</t>
  </si>
  <si>
    <t>Lamb Loin, lean, cooked</t>
  </si>
  <si>
    <t>Lamb Liver, cooked</t>
  </si>
  <si>
    <t>Lamb Kidney, cooked</t>
  </si>
  <si>
    <t>Lamb Spleen, cooked</t>
  </si>
  <si>
    <t>Lamb Heart, cooked</t>
  </si>
  <si>
    <t>Venison, cooked</t>
  </si>
  <si>
    <t>Presoaked Oats, cooked</t>
  </si>
  <si>
    <t>White Rice, cooked</t>
  </si>
  <si>
    <t>Brown Rice, cooked</t>
  </si>
  <si>
    <t>Quinoa, cooked</t>
  </si>
  <si>
    <t>Parsnips, cooked</t>
  </si>
  <si>
    <t>Butternut Squash, cooked</t>
  </si>
  <si>
    <t>Beets, cooked</t>
  </si>
  <si>
    <t>Carrots, cooked</t>
  </si>
  <si>
    <t>Turnips, cooked</t>
  </si>
  <si>
    <t>Spinach, cooked</t>
  </si>
  <si>
    <t>Kale, cooked</t>
  </si>
  <si>
    <t>Broccoli, cooked</t>
  </si>
  <si>
    <t>Zucchini, cooked</t>
  </si>
  <si>
    <t>Green Beans, cooked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</si>
</sst>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
    <numFmt numFmtId="165" formatCode="_(&quot;$&quot;* #,##0.00_);_(&quot;$&quot;* \(#,##0.00\);_(&quot;$&quot;* &quot;-&quot;??_);_(@_)"/>
    <numFmt numFmtId="166" formatCode="0.000"/>
    <numFmt numFmtId="167" formatCode="mmmm d, yyyy"/>
    <numFmt numFmtId="168" formatCode="0.0000"/>
    <numFmt numFmtId="169" formatCode="0.0%"/>
    <numFmt numFmtId="170" formatCode="&quot;$&quot;#,##0.00"/>
  </numFmts>
  <fonts count="94">
    <font>
      <sz val="10.0"/>
      <color rgb="FF000000"/>
      <name val="Arial"/>
    </font>
    <font>
      <b/>
    </font>
    <font>
      <b/>
      <color rgb="FF000000"/>
    </font>
    <font/>
    <font>
      <color rgb="FF000000"/>
    </font>
    <font>
      <u/>
      <color rgb="FF1155CC"/>
    </font>
    <font>
      <u/>
      <color rgb="FF1155CC"/>
    </font>
    <font>
      <u/>
    </font>
    <font>
      <color rgb="FF000000"/>
      <name val="Arial"/>
    </font>
    <font>
      <name val="Arial"/>
    </font>
    <font>
      <u/>
      <color rgb="FF1155CC"/>
      <name val="Arial"/>
    </font>
    <font>
      <u/>
      <color rgb="FF1155CC"/>
    </font>
    <font>
      <u/>
      <color rgb="FF1155CC"/>
    </font>
    <font>
      <u/>
    </font>
    <font>
      <u/>
      <color rgb="FF1155CC"/>
      <name val="Arial"/>
    </font>
    <font>
      <u/>
      <color rgb="FF1155CC"/>
      <name val="Arial"/>
    </font>
    <font>
      <u/>
      <color rgb="FF1155CC"/>
      <name val="Arial"/>
    </font>
    <font>
      <u/>
      <color rgb="FF1155CC"/>
      <name val="Arial"/>
    </font>
    <font>
      <u/>
      <sz val="10.0"/>
      <color rgb="FF1155CC"/>
      <name val="Arial"/>
    </font>
    <font>
      <u/>
      <sz val="10.0"/>
      <color rgb="FF1155CC"/>
      <name val="Arial"/>
    </font>
    <font>
      <u/>
      <color rgb="FF1155CC"/>
      <name val="Arial"/>
    </font>
    <font>
      <u/>
      <color rgb="FF1155CC"/>
      <name val="Arial"/>
    </font>
    <font>
      <u/>
      <sz val="10.0"/>
      <color rgb="FF1155CC"/>
      <name val="Arial"/>
    </font>
    <font>
      <u/>
      <name val="Arial"/>
    </font>
    <font>
      <u/>
      <color rgb="FF1155CC"/>
    </font>
    <font>
      <u/>
      <color rgb="FF1155CC"/>
    </font>
    <font>
      <u/>
    </font>
    <font>
      <u/>
    </font>
    <font>
      <u/>
      <color rgb="FF1155CC"/>
    </font>
    <font>
      <u/>
    </font>
    <font>
      <color rgb="FF1155CC"/>
    </font>
    <font>
      <u/>
    </font>
    <font>
      <sz val="30.0"/>
      <color rgb="FFFFFFFF"/>
      <name val="Archivo Black"/>
    </font>
    <font>
      <sz val="8.0"/>
      <color rgb="FF666666"/>
      <name val="Arial"/>
    </font>
    <font>
      <b/>
      <name val="Arial"/>
    </font>
    <font>
      <b/>
      <color rgb="FFFFFFFF"/>
      <name val="Arial"/>
    </font>
    <font>
      <color rgb="FF999999"/>
      <name val="Arial"/>
    </font>
    <font>
      <b/>
      <color rgb="FF999999"/>
      <name val="Arial"/>
    </font>
    <font>
      <b/>
      <u/>
      <color rgb="FF999999"/>
      <name val="Arial"/>
    </font>
    <font>
      <b/>
      <color rgb="FF7D9397"/>
      <name val="Arial"/>
    </font>
    <font>
      <b/>
      <sz val="10.0"/>
      <name val="Arial"/>
    </font>
    <font>
      <b/>
      <sz val="36.0"/>
      <name val="Arial"/>
    </font>
    <font>
      <b/>
      <sz val="10.0"/>
      <color rgb="FF99222A"/>
      <name val="Arial"/>
    </font>
    <font>
      <b/>
      <color rgb="FF99222A"/>
    </font>
    <font>
      <b/>
      <color rgb="FF99222A"/>
      <name val="Arial"/>
    </font>
    <font>
      <sz val="8.0"/>
      <name val="Arial"/>
    </font>
    <font>
      <color rgb="FFCCCCCC"/>
      <name val="Arial"/>
    </font>
    <font>
      <sz val="7.0"/>
      <color rgb="FFBDBDBD"/>
      <name val="Arial"/>
    </font>
    <font>
      <b/>
      <color rgb="FF000000"/>
      <name val="Arial"/>
    </font>
    <font>
      <i/>
      <sz val="9.0"/>
      <color rgb="FF7D9397"/>
      <name val="Arial"/>
    </font>
    <font>
      <color rgb="FFD9D9D9"/>
      <name val="Arial"/>
    </font>
    <font>
      <b/>
      <sz val="10.0"/>
      <color rgb="FFFFFFFF"/>
      <name val="Arial"/>
    </font>
    <font>
      <b/>
      <color rgb="FFFFFFFF"/>
    </font>
    <font>
      <b/>
      <color rgb="FF7D9397"/>
    </font>
    <font>
      <sz val="8.0"/>
    </font>
    <font>
      <b/>
      <sz val="10.0"/>
      <color rgb="FF7D9397"/>
      <name val="Arial"/>
    </font>
    <font>
      <color rgb="FF99222A"/>
    </font>
    <font>
      <color rgb="FFFFFFFF"/>
    </font>
    <font>
      <b/>
      <sz val="8.0"/>
      <color rgb="FFFFFFFF"/>
      <name val="Arial"/>
    </font>
    <font>
      <color rgb="FF7D9397"/>
      <name val="Arial"/>
    </font>
    <font>
      <sz val="10.0"/>
      <color rgb="FF7D9397"/>
      <name val="Arial"/>
    </font>
    <font>
      <b/>
      <sz val="11.0"/>
      <color rgb="FFFFFFFF"/>
      <name val="Arial"/>
    </font>
    <font>
      <b/>
      <sz val="10.0"/>
      <color rgb="FF000000"/>
      <name val="Arial"/>
    </font>
    <font>
      <u/>
      <color rgb="FF990000"/>
      <name val="Arial"/>
    </font>
    <font>
      <u/>
      <color rgb="FF990000"/>
      <name val="Arial"/>
    </font>
    <font>
      <u/>
      <color rgb="FF990000"/>
      <name val="Arial"/>
    </font>
    <font>
      <u/>
      <color rgb="FF990000"/>
      <name val="Arial"/>
    </font>
    <font>
      <sz val="10.0"/>
      <color rgb="FFCCCCCC"/>
      <name val="Arial"/>
    </font>
    <font>
      <b/>
      <sz val="8.0"/>
      <color rgb="FF99222A"/>
      <name val="Arial"/>
    </font>
    <font>
      <sz val="18.0"/>
    </font>
    <font>
      <b/>
      <sz val="16.0"/>
    </font>
    <font>
      <sz val="50.0"/>
      <color rgb="FF99222A"/>
      <name val="Archivo Black"/>
    </font>
    <font>
      <i/>
      <sz val="8.0"/>
      <color rgb="FF999999"/>
    </font>
    <font>
      <b/>
      <sz val="16.0"/>
      <color rgb="FFFFFFFF"/>
    </font>
    <font>
      <sz val="16.0"/>
    </font>
    <font>
      <b/>
      <sz val="12.0"/>
      <color rgb="FF5B8996"/>
    </font>
    <font>
      <b/>
      <sz val="12.0"/>
    </font>
    <font>
      <b/>
      <sz val="12.0"/>
      <color rgb="FF99222A"/>
    </font>
    <font>
      <b/>
      <sz val="12.0"/>
      <color rgb="FF5B8996"/>
      <name val="Arial"/>
    </font>
    <font>
      <sz val="11.0"/>
    </font>
    <font>
      <sz val="15.0"/>
    </font>
    <font>
      <b/>
      <sz val="18.0"/>
      <color rgb="FFFFFFFF"/>
    </font>
    <font>
      <b/>
      <sz val="12.0"/>
      <color rgb="FFFFFFFF"/>
    </font>
    <font>
      <sz val="14.0"/>
    </font>
    <font>
      <color rgb="FFFFFFFF"/>
      <name val="Arial"/>
    </font>
    <font>
      <b/>
      <sz val="10.0"/>
      <color rgb="FFFFFFFF"/>
    </font>
    <font>
      <b/>
      <sz val="10.0"/>
    </font>
    <font>
      <i/>
      <sz val="8.0"/>
      <color rgb="FFFFFFFF"/>
    </font>
    <font>
      <b/>
      <sz val="14.0"/>
    </font>
    <font>
      <sz val="12.0"/>
    </font>
    <font>
      <b/>
      <u/>
      <sz val="12.0"/>
      <color rgb="FF99222A"/>
    </font>
    <font>
      <b/>
      <sz val="14.0"/>
      <color rgb="FF000000"/>
      <name val="Arial"/>
    </font>
    <font>
      <i/>
      <sz val="8.0"/>
      <color rgb="FF000000"/>
    </font>
    <font>
      <i/>
      <sz val="10.0"/>
      <color rgb="FF99222A"/>
    </font>
  </fonts>
  <fills count="24">
    <fill>
      <patternFill patternType="none"/>
    </fill>
    <fill>
      <patternFill patternType="lightGray"/>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A3C0C4"/>
        <bgColor rgb="FFA3C0C4"/>
      </patternFill>
    </fill>
    <fill>
      <patternFill patternType="solid">
        <fgColor rgb="FF999999"/>
        <bgColor rgb="FF999999"/>
      </patternFill>
    </fill>
    <fill>
      <patternFill patternType="solid">
        <fgColor rgb="FF99222A"/>
        <bgColor rgb="FF99222A"/>
      </patternFill>
    </fill>
    <fill>
      <patternFill patternType="solid">
        <fgColor rgb="FF3D85C6"/>
        <bgColor rgb="FF3D85C6"/>
      </patternFill>
    </fill>
    <fill>
      <patternFill patternType="solid">
        <fgColor rgb="FFA61C00"/>
        <bgColor rgb="FFA61C00"/>
      </patternFill>
    </fill>
    <fill>
      <patternFill patternType="solid">
        <fgColor rgb="FFE69138"/>
        <bgColor rgb="FFE69138"/>
      </patternFill>
    </fill>
    <fill>
      <patternFill patternType="solid">
        <fgColor rgb="FFF1C232"/>
        <bgColor rgb="FFF1C232"/>
      </patternFill>
    </fill>
    <fill>
      <patternFill patternType="solid">
        <fgColor rgb="FF38761D"/>
        <bgColor rgb="FF38761D"/>
      </patternFill>
    </fill>
    <fill>
      <patternFill patternType="solid">
        <fgColor rgb="FF666666"/>
        <bgColor rgb="FF666666"/>
      </patternFill>
    </fill>
    <fill>
      <patternFill patternType="solid">
        <fgColor rgb="FFFFE4E4"/>
        <bgColor rgb="FFFFE4E4"/>
      </patternFill>
    </fill>
    <fill>
      <patternFill patternType="solid">
        <fgColor rgb="FFF4CCCC"/>
        <bgColor rgb="FFF4CCCC"/>
      </patternFill>
    </fill>
    <fill>
      <patternFill patternType="solid">
        <fgColor rgb="FF759EA3"/>
        <bgColor rgb="FF759EA3"/>
      </patternFill>
    </fill>
    <fill>
      <patternFill patternType="solid">
        <fgColor rgb="FF4B4E57"/>
        <bgColor rgb="FF4B4E57"/>
      </patternFill>
    </fill>
    <fill>
      <patternFill patternType="solid">
        <fgColor rgb="FF5B8996"/>
        <bgColor rgb="FF5B8996"/>
      </patternFill>
    </fill>
    <fill>
      <patternFill patternType="solid">
        <fgColor rgb="FF45121D"/>
        <bgColor rgb="FF45121D"/>
      </patternFill>
    </fill>
    <fill>
      <patternFill patternType="solid">
        <fgColor rgb="FF7A171D"/>
        <bgColor rgb="FF7A171D"/>
      </patternFill>
    </fill>
    <fill>
      <patternFill patternType="solid">
        <fgColor rgb="FFA7323A"/>
        <bgColor rgb="FFA7323A"/>
      </patternFill>
    </fill>
    <fill>
      <patternFill patternType="solid">
        <fgColor rgb="FFCACCD1"/>
        <bgColor rgb="FFCACCD1"/>
      </patternFill>
    </fill>
    <fill>
      <patternFill patternType="solid">
        <fgColor rgb="FFDBE6E5"/>
        <bgColor rgb="FFDBE6E5"/>
      </patternFill>
    </fill>
  </fills>
  <borders count="127">
    <border/>
    <border>
      <right style="hair">
        <color rgb="FFBDBDBD"/>
      </right>
      <bottom style="hair">
        <color rgb="FFBDBDBD"/>
      </bottom>
    </border>
    <border>
      <left style="hair">
        <color rgb="FFBDBDBD"/>
      </left>
      <bottom style="hair">
        <color rgb="FFBDBDBD"/>
      </bottom>
    </border>
    <border>
      <bottom style="hair">
        <color rgb="FFBDBDBD"/>
      </bottom>
    </border>
    <border>
      <left style="hair">
        <color rgb="FFBDBDBD"/>
      </left>
      <right style="hair">
        <color rgb="FFBDBDBD"/>
      </right>
      <bottom style="hair">
        <color rgb="FFBDBDBD"/>
      </bottom>
    </border>
    <border>
      <right style="hair">
        <color rgb="FFBDBDBD"/>
      </right>
      <top style="hair">
        <color rgb="FFBDBDBD"/>
      </top>
      <bottom style="hair">
        <color rgb="FFBDBDBD"/>
      </bottom>
    </border>
    <border>
      <left style="hair">
        <color rgb="FFBDBDBD"/>
      </left>
      <right style="hair">
        <color rgb="FFBDBDBD"/>
      </right>
      <top style="hair">
        <color rgb="FFBDBDBD"/>
      </top>
      <bottom style="hair">
        <color rgb="FFBDBDBD"/>
      </bottom>
    </border>
    <border>
      <left style="hair">
        <color rgb="FFBDBDBD"/>
      </left>
      <top style="hair">
        <color rgb="FFBDBDBD"/>
      </top>
      <bottom style="hair">
        <color rgb="FFBDBDBD"/>
      </bottom>
    </border>
    <border>
      <left style="hair">
        <color rgb="FFBDBDBD"/>
      </left>
      <right style="hair">
        <color rgb="FFB7B7B7"/>
      </right>
      <top style="hair">
        <color rgb="FFBDBDBD"/>
      </top>
      <bottom style="hair">
        <color rgb="FFBDBDBD"/>
      </bottom>
    </border>
    <border>
      <right style="hair">
        <color rgb="FFBDBDBD"/>
      </right>
      <top style="hair">
        <color rgb="FFBDBDBD"/>
      </top>
    </border>
    <border>
      <left style="hair">
        <color rgb="FFBDBDBD"/>
      </left>
      <right style="hair">
        <color rgb="FFBDBDBD"/>
      </right>
      <top style="hair">
        <color rgb="FFBDBDBD"/>
      </top>
    </border>
    <border>
      <left style="hair">
        <color rgb="FFBDBDBD"/>
      </left>
      <right style="hair">
        <color rgb="FFB7B7B7"/>
      </right>
      <top style="hair">
        <color rgb="FFBDBDBD"/>
      </top>
    </border>
    <border>
      <left style="thick">
        <color rgb="FFA3C0C4"/>
      </left>
      <top style="thick">
        <color rgb="FFA3C0C4"/>
      </top>
      <bottom style="thin">
        <color rgb="FFA3C0C4"/>
      </bottom>
    </border>
    <border>
      <top style="thick">
        <color rgb="FFA3C0C4"/>
      </top>
      <bottom style="thin">
        <color rgb="FFA3C0C4"/>
      </bottom>
    </border>
    <border>
      <right style="thick">
        <color rgb="FFA3C0C4"/>
      </right>
      <top style="thick">
        <color rgb="FFA3C0C4"/>
      </top>
      <bottom style="thin">
        <color rgb="FFA3C0C4"/>
      </bottom>
    </border>
    <border>
      <left style="thick">
        <color rgb="FFA3C0C4"/>
      </left>
    </border>
    <border>
      <right style="thick">
        <color rgb="FFA3C0C4"/>
      </right>
    </border>
    <border>
      <bottom style="hair">
        <color rgb="FFA3C0C4"/>
      </bottom>
    </border>
    <border>
      <top style="hair">
        <color rgb="FFA3C0C4"/>
      </top>
      <bottom style="hair">
        <color rgb="FFA3C0C4"/>
      </bottom>
    </border>
    <border>
      <left style="thick">
        <color rgb="FFA3C0C4"/>
      </left>
      <bottom style="thick">
        <color rgb="FFA3C0C4"/>
      </bottom>
    </border>
    <border>
      <bottom style="thick">
        <color rgb="FFA3C0C4"/>
      </bottom>
    </border>
    <border>
      <right style="thick">
        <color rgb="FFA3C0C4"/>
      </right>
      <bottom style="thick">
        <color rgb="FFA3C0C4"/>
      </bottom>
    </border>
    <border>
      <left style="thick">
        <color rgb="FF999999"/>
      </left>
      <top style="thick">
        <color rgb="FF999999"/>
      </top>
      <bottom style="hair">
        <color rgb="FF999999"/>
      </bottom>
    </border>
    <border>
      <top style="thick">
        <color rgb="FF999999"/>
      </top>
      <bottom style="hair">
        <color rgb="FF999999"/>
      </bottom>
    </border>
    <border>
      <right style="thick">
        <color rgb="FF999999"/>
      </right>
      <top style="thick">
        <color rgb="FF999999"/>
      </top>
      <bottom style="hair">
        <color rgb="FF999999"/>
      </bottom>
    </border>
    <border>
      <left style="thick">
        <color rgb="FF999999"/>
      </left>
      <top style="hair">
        <color rgb="FF999999"/>
      </top>
      <bottom style="hair">
        <color rgb="FF999999"/>
      </bottom>
    </border>
    <border>
      <top style="hair">
        <color rgb="FF999999"/>
      </top>
      <bottom style="hair">
        <color rgb="FF999999"/>
      </bottom>
    </border>
    <border>
      <right style="thick">
        <color rgb="FF999999"/>
      </right>
      <top style="hair">
        <color rgb="FF999999"/>
      </top>
      <bottom style="hair">
        <color rgb="FF999999"/>
      </bottom>
    </border>
    <border>
      <right/>
      <top style="hair">
        <color rgb="FF999999"/>
      </top>
      <bottom style="hair">
        <color rgb="FF999999"/>
      </bottom>
    </border>
    <border>
      <left style="thick">
        <color rgb="FF999999"/>
      </left>
      <top style="hair">
        <color rgb="FF999999"/>
      </top>
      <bottom style="thick">
        <color rgb="FF999999"/>
      </bottom>
    </border>
    <border>
      <top style="hair">
        <color rgb="FF999999"/>
      </top>
      <bottom style="thick">
        <color rgb="FF999999"/>
      </bottom>
    </border>
    <border>
      <right style="thick">
        <color rgb="FF999999"/>
      </right>
      <top style="hair">
        <color rgb="FF999999"/>
      </top>
      <bottom style="thick">
        <color rgb="FF999999"/>
      </bottom>
    </border>
    <border>
      <left style="thick">
        <color rgb="FF99222A"/>
      </left>
      <top style="thick">
        <color rgb="FF99222A"/>
      </top>
      <bottom style="thick">
        <color rgb="FF99222A"/>
      </bottom>
    </border>
    <border>
      <right style="thick">
        <color rgb="FF99222A"/>
      </right>
      <top style="thick">
        <color rgb="FF99222A"/>
      </top>
      <bottom style="thick">
        <color rgb="FF99222A"/>
      </bottom>
    </border>
    <border>
      <left style="hair">
        <color rgb="FFA3C0C4"/>
      </left>
      <bottom style="hair">
        <color rgb="FFA3C0C4"/>
      </bottom>
    </border>
    <border>
      <left style="hair">
        <color rgb="FFA3C0C4"/>
      </left>
      <right style="hair">
        <color rgb="FFA3C0C4"/>
      </right>
      <bottom style="hair">
        <color rgb="FFA3C0C4"/>
      </bottom>
    </border>
    <border>
      <left style="hair">
        <color rgb="FFA3C0C4"/>
      </left>
      <right style="thick">
        <color rgb="FFA3C0C4"/>
      </right>
      <bottom style="hair">
        <color rgb="FFA3C0C4"/>
      </bottom>
    </border>
    <border>
      <left style="hair">
        <color rgb="FFA3C0C4"/>
      </left>
      <top style="hair">
        <color rgb="FFA3C0C4"/>
      </top>
      <bottom style="hair">
        <color rgb="FFA3C0C4"/>
      </bottom>
    </border>
    <border>
      <left style="hair">
        <color rgb="FFA3C0C4"/>
      </left>
      <right style="hair">
        <color rgb="FFA3C0C4"/>
      </right>
      <top style="hair">
        <color rgb="FFA3C0C4"/>
      </top>
      <bottom style="hair">
        <color rgb="FFA3C0C4"/>
      </bottom>
    </border>
    <border>
      <left style="hair">
        <color rgb="FFA3C0C4"/>
      </left>
      <right style="thick">
        <color rgb="FFA3C0C4"/>
      </right>
      <top style="hair">
        <color rgb="FFA3C0C4"/>
      </top>
      <bottom style="hair">
        <color rgb="FFA3C0C4"/>
      </bottom>
    </border>
    <border>
      <top style="thick">
        <color rgb="FFA3C0C4"/>
      </top>
    </border>
    <border>
      <right style="thick">
        <color rgb="FFFFFFFF"/>
      </right>
      <top style="thick">
        <color rgb="FFA3C0C4"/>
      </top>
    </border>
    <border>
      <left style="thick">
        <color rgb="FFFFFFFF"/>
      </left>
      <top style="thick">
        <color rgb="FFA3C0C4"/>
      </top>
    </border>
    <border>
      <top style="thick">
        <color rgb="FF99222A"/>
      </top>
      <bottom style="thick">
        <color rgb="FF99222A"/>
      </bottom>
    </border>
    <border>
      <top style="hair">
        <color rgb="FFA3C0C4"/>
      </top>
    </border>
    <border>
      <left style="thick">
        <color rgb="FFA3C0C4"/>
      </left>
      <top style="thick">
        <color rgb="FFA3C0C4"/>
      </top>
      <bottom style="thick">
        <color rgb="FFA3C0C4"/>
      </bottom>
    </border>
    <border>
      <top style="thick">
        <color rgb="FFA3C0C4"/>
      </top>
      <bottom style="thick">
        <color rgb="FFA3C0C4"/>
      </bottom>
    </border>
    <border>
      <right style="thick">
        <color rgb="FFA3C0C4"/>
      </right>
      <top style="thick">
        <color rgb="FFA3C0C4"/>
      </top>
      <bottom style="thick">
        <color rgb="FFA3C0C4"/>
      </bottom>
    </border>
    <border>
      <top style="hair">
        <color rgb="FFBDBDBD"/>
      </top>
      <bottom style="hair">
        <color rgb="FFBDBDBD"/>
      </bottom>
    </border>
    <border>
      <left style="thick">
        <color rgb="FFA3C0C4"/>
      </left>
      <right/>
      <top style="thick">
        <color rgb="FFA3C0C4"/>
      </top>
      <bottom style="thick">
        <color rgb="FFA3C0C4"/>
      </bottom>
    </border>
    <border>
      <left style="thick">
        <color rgb="FFA3C0C4"/>
      </left>
      <top style="thick">
        <color rgb="FFA3C0C4"/>
      </top>
    </border>
    <border>
      <right style="thick">
        <color rgb="FFA3C0C4"/>
      </right>
      <top style="thick">
        <color rgb="FFA3C0C4"/>
      </top>
    </border>
    <border>
      <left style="thick">
        <color rgb="FFA3C0C4"/>
      </left>
      <bottom style="hair">
        <color rgb="FFA3C0C4"/>
      </bottom>
    </border>
    <border>
      <right style="thick">
        <color rgb="FFA3C0C4"/>
      </right>
      <bottom style="hair">
        <color rgb="FFA3C0C4"/>
      </bottom>
    </border>
    <border>
      <top style="hair">
        <color rgb="FFA3C0C4"/>
      </top>
      <bottom style="double">
        <color rgb="FF000000"/>
      </bottom>
    </border>
    <border>
      <left style="thick">
        <color rgb="FF759EA3"/>
      </left>
      <top style="thick">
        <color rgb="FF759EA3"/>
      </top>
      <bottom style="thick">
        <color rgb="FF759EA3"/>
      </bottom>
    </border>
    <border>
      <right style="thick">
        <color rgb="FF759EA3"/>
      </right>
      <top style="thick">
        <color rgb="FF759EA3"/>
      </top>
      <bottom style="thick">
        <color rgb="FF759EA3"/>
      </bottom>
    </border>
    <border>
      <left style="thick">
        <color rgb="FF4B4E57"/>
      </left>
      <top style="thick">
        <color rgb="FF4B4E57"/>
      </top>
      <bottom style="thick">
        <color rgb="FF4B4E57"/>
      </bottom>
    </border>
    <border>
      <top style="thick">
        <color rgb="FF4B4E57"/>
      </top>
      <bottom style="thick">
        <color rgb="FF4B4E57"/>
      </bottom>
    </border>
    <border>
      <right style="thick">
        <color rgb="FF4B4E57"/>
      </right>
      <top style="thick">
        <color rgb="FF4B4E57"/>
      </top>
      <bottom style="thick">
        <color rgb="FF4B4E57"/>
      </bottom>
    </border>
    <border>
      <left style="thick">
        <color rgb="FF759EA3"/>
      </left>
      <top style="thick">
        <color rgb="FF759EA3"/>
      </top>
      <bottom style="hair">
        <color rgb="FFA3C0C4"/>
      </bottom>
    </border>
    <border>
      <top style="thick">
        <color rgb="FF759EA3"/>
      </top>
      <bottom style="hair">
        <color rgb="FFA3C0C4"/>
      </bottom>
    </border>
    <border>
      <left style="thick">
        <color rgb="FF4B4E57"/>
      </left>
      <bottom style="hair">
        <color rgb="FFA3C0C4"/>
      </bottom>
    </border>
    <border>
      <right style="thick">
        <color rgb="FF4B4E57"/>
      </right>
      <bottom style="hair">
        <color rgb="FFA3C0C4"/>
      </bottom>
    </border>
    <border>
      <left style="thick">
        <color rgb="FF759EA3"/>
      </left>
      <top style="hair">
        <color rgb="FFA3C0C4"/>
      </top>
      <bottom style="hair">
        <color rgb="FFA3C0C4"/>
      </bottom>
    </border>
    <border>
      <left style="thick">
        <color rgb="FF759EA3"/>
      </left>
      <top style="hair">
        <color rgb="FFA3C0C4"/>
      </top>
    </border>
    <border>
      <left style="thick">
        <color rgb="FF4B4E57"/>
      </left>
    </border>
    <border>
      <right style="thick">
        <color rgb="FF4B4E57"/>
      </right>
    </border>
    <border>
      <top style="thick">
        <color rgb="FF759EA3"/>
      </top>
      <bottom style="thick">
        <color rgb="FF759EA3"/>
      </bottom>
    </border>
    <border>
      <left style="thick">
        <color rgb="FFA3C0C4"/>
      </left>
      <top style="hair">
        <color rgb="FFA3C0C4"/>
      </top>
      <bottom style="hair">
        <color rgb="FFA3C0C4"/>
      </bottom>
    </border>
    <border>
      <right style="thick">
        <color rgb="FFA3C0C4"/>
      </right>
      <top style="hair">
        <color rgb="FFA3C0C4"/>
      </top>
    </border>
    <border>
      <right style="thick">
        <color rgb="FFA3C0C4"/>
      </right>
      <top style="hair">
        <color rgb="FFA3C0C4"/>
      </top>
      <bottom style="hair">
        <color rgb="FFA3C0C4"/>
      </bottom>
    </border>
    <border>
      <left style="thick">
        <color rgb="FFA3C0C4"/>
      </left>
      <top style="hair">
        <color rgb="FFA3C0C4"/>
      </top>
    </border>
    <border>
      <left style="hair">
        <color rgb="FFA3C0C4"/>
      </left>
      <top style="hair">
        <color rgb="FFA3C0C4"/>
      </top>
      <bottom style="double">
        <color rgb="FFA3C0C4"/>
      </bottom>
    </border>
    <border>
      <top style="hair">
        <color rgb="FFA3C0C4"/>
      </top>
      <bottom style="double">
        <color rgb="FFA3C0C4"/>
      </bottom>
    </border>
    <border>
      <left style="hair">
        <color rgb="FFA3C0C4"/>
      </left>
      <right style="hair">
        <color rgb="FFA3C0C4"/>
      </right>
      <top style="hair">
        <color rgb="FFA3C0C4"/>
      </top>
      <bottom style="double">
        <color rgb="FFA3C0C4"/>
      </bottom>
    </border>
    <border>
      <left style="hair">
        <color rgb="FFA3C0C4"/>
      </left>
      <right style="hair">
        <color rgb="FFA3C0C4"/>
      </right>
      <bottom style="double">
        <color rgb="FFA3C0C4"/>
      </bottom>
    </border>
    <border>
      <left style="hair">
        <color rgb="FFA3C0C4"/>
      </left>
      <right style="thick">
        <color rgb="FFA3C0C4"/>
      </right>
      <top style="hair">
        <color rgb="FFA3C0C4"/>
      </top>
      <bottom style="double">
        <color rgb="FFA3C0C4"/>
      </bottom>
    </border>
    <border>
      <left style="hair">
        <color rgb="FFA3C0C4"/>
      </left>
      <top style="hair">
        <color rgb="FFA3C0C4"/>
      </top>
    </border>
    <border>
      <top style="hair">
        <color rgb="FFA3C0C4"/>
      </top>
      <bottom style="thick">
        <color rgb="FFA3C0C4"/>
      </bottom>
    </border>
    <border>
      <right style="hair">
        <color rgb="FFA3C0C4"/>
      </right>
      <top style="hair">
        <color rgb="FFA3C0C4"/>
      </top>
      <bottom style="thick">
        <color rgb="FFA3C0C4"/>
      </bottom>
    </border>
    <border>
      <left style="hair">
        <color rgb="FFA3C0C4"/>
      </left>
      <right style="hair">
        <color rgb="FFA3C0C4"/>
      </right>
      <top style="hair">
        <color rgb="FFA3C0C4"/>
      </top>
      <bottom style="thick">
        <color rgb="FFA3C0C4"/>
      </bottom>
    </border>
    <border>
      <left style="hair">
        <color rgb="FFA3C0C4"/>
      </left>
      <top style="hair">
        <color rgb="FFA3C0C4"/>
      </top>
      <bottom style="thick">
        <color rgb="FFA3C0C4"/>
      </bottom>
    </border>
    <border>
      <left style="hair">
        <color rgb="FFA3C0C4"/>
      </left>
      <right style="thick">
        <color rgb="FFA3C0C4"/>
      </right>
      <top style="hair">
        <color rgb="FFA3C0C4"/>
      </top>
    </border>
    <border>
      <left style="thick">
        <color rgb="FF4B4E57"/>
      </left>
      <top style="thick">
        <color rgb="FF4B4E57"/>
      </top>
    </border>
    <border>
      <top style="thick">
        <color rgb="FF4B4E57"/>
      </top>
    </border>
    <border>
      <right style="thick">
        <color rgb="FF4B4E57"/>
      </right>
      <top style="thick">
        <color rgb="FF4B4E57"/>
      </top>
    </border>
    <border>
      <left style="thick">
        <color rgb="FF99222A"/>
      </left>
      <top style="thick">
        <color rgb="FF99222A"/>
      </top>
    </border>
    <border>
      <top style="thick">
        <color rgb="FF99222A"/>
      </top>
    </border>
    <border>
      <right style="thick">
        <color rgb="FF99222A"/>
      </right>
      <top style="thick">
        <color rgb="FF99222A"/>
      </top>
    </border>
    <border>
      <left style="thick">
        <color rgb="FF99222A"/>
      </left>
    </border>
    <border>
      <right style="thick">
        <color rgb="FF99222A"/>
      </right>
    </border>
    <border>
      <left style="thick">
        <color rgb="FF99222A"/>
      </left>
      <bottom style="thick">
        <color rgb="FF99222A"/>
      </bottom>
    </border>
    <border>
      <bottom style="thick">
        <color rgb="FF99222A"/>
      </bottom>
    </border>
    <border>
      <right style="thick">
        <color rgb="FF99222A"/>
      </right>
      <bottom style="thick">
        <color rgb="FF99222A"/>
      </bottom>
    </border>
    <border>
      <left style="thick">
        <color rgb="FF990000"/>
      </left>
      <bottom style="thick">
        <color rgb="FF990000"/>
      </bottom>
    </border>
    <border>
      <bottom style="thick">
        <color rgb="FF990000"/>
      </bottom>
    </border>
    <border>
      <right style="thick">
        <color rgb="FF990000"/>
      </right>
      <bottom style="thick">
        <color rgb="FF990000"/>
      </bottom>
    </border>
    <border>
      <left style="thick">
        <color rgb="FF45121D"/>
      </left>
      <top style="thick">
        <color rgb="FF45121D"/>
      </top>
    </border>
    <border>
      <top style="thick">
        <color rgb="FF45121D"/>
      </top>
    </border>
    <border>
      <right style="thick">
        <color rgb="FF45121D"/>
      </right>
      <top style="thick">
        <color rgb="FF45121D"/>
      </top>
    </border>
    <border>
      <left style="thick">
        <color rgb="FF45121D"/>
      </left>
    </border>
    <border>
      <right style="thick">
        <color rgb="FF45121D"/>
      </right>
    </border>
    <border>
      <left style="thick">
        <color rgb="FF45121D"/>
      </left>
      <bottom style="thick">
        <color rgb="FF45121D"/>
      </bottom>
    </border>
    <border>
      <bottom style="thick">
        <color rgb="FF45121D"/>
      </bottom>
    </border>
    <border>
      <right style="thick">
        <color rgb="FF45121D"/>
      </right>
      <bottom style="thick">
        <color rgb="FF45121D"/>
      </bottom>
    </border>
    <border>
      <bottom style="hair">
        <color rgb="FFE06666"/>
      </bottom>
    </border>
    <border>
      <top style="hair">
        <color rgb="FFE06666"/>
      </top>
      <bottom style="hair">
        <color rgb="FFE06666"/>
      </bottom>
    </border>
    <border>
      <left style="thick">
        <color rgb="FF4B4E57"/>
      </left>
      <bottom style="thick">
        <color rgb="FF4B4E57"/>
      </bottom>
    </border>
    <border>
      <bottom style="thick">
        <color rgb="FF4B4E57"/>
      </bottom>
    </border>
    <border>
      <right style="thick">
        <color rgb="FF4B4E57"/>
      </right>
      <bottom style="thick">
        <color rgb="FF4B4E57"/>
      </bottom>
    </border>
    <border>
      <left style="double">
        <color rgb="FF4B4E57"/>
      </left>
    </border>
    <border>
      <left style="thick">
        <color rgb="FF4B4E57"/>
      </left>
      <top style="hair">
        <color rgb="FFCACCD1"/>
      </top>
      <bottom style="hair">
        <color rgb="FFCACCD1"/>
      </bottom>
    </border>
    <border>
      <top style="hair">
        <color rgb="FFCACCD1"/>
      </top>
      <bottom style="hair">
        <color rgb="FFCACCD1"/>
      </bottom>
    </border>
    <border>
      <left style="double">
        <color rgb="FF4B4E57"/>
      </left>
      <top style="hair">
        <color rgb="FFCACCD1"/>
      </top>
      <bottom style="hair">
        <color rgb="FFCACCD1"/>
      </bottom>
    </border>
    <border>
      <right style="thick">
        <color rgb="FF4B4E57"/>
      </right>
      <top style="hair">
        <color rgb="FFCACCD1"/>
      </top>
      <bottom style="hair">
        <color rgb="FFCACCD1"/>
      </bottom>
    </border>
    <border>
      <left style="thick">
        <color rgb="FF4B4E57"/>
      </left>
      <top style="hair">
        <color rgb="FFCACCD1"/>
      </top>
      <bottom style="double">
        <color rgb="FF4B4E57"/>
      </bottom>
    </border>
    <border>
      <top style="hair">
        <color rgb="FFCACCD1"/>
      </top>
      <bottom style="double">
        <color rgb="FF4B4E57"/>
      </bottom>
    </border>
    <border>
      <left style="double">
        <color rgb="FF4B4E57"/>
      </left>
      <top style="hair">
        <color rgb="FFCACCD1"/>
      </top>
      <bottom style="double">
        <color rgb="FF4B4E57"/>
      </bottom>
    </border>
    <border>
      <right style="thick">
        <color rgb="FF4B4E57"/>
      </right>
      <top style="hair">
        <color rgb="FFCACCD1"/>
      </top>
      <bottom style="double">
        <color rgb="FF4B4E57"/>
      </bottom>
    </border>
    <border>
      <top style="hair">
        <color rgb="FFE06666"/>
      </top>
    </border>
    <border>
      <left style="thick">
        <color rgb="FF4B4E57"/>
      </left>
      <top style="hair">
        <color rgb="FFCACCD1"/>
      </top>
      <bottom style="thick">
        <color rgb="FF4B4E57"/>
      </bottom>
    </border>
    <border>
      <top style="hair">
        <color rgb="FFCACCD1"/>
      </top>
      <bottom style="thick">
        <color rgb="FF4B4E57"/>
      </bottom>
    </border>
    <border>
      <bottom style="hair">
        <color rgb="FF999999"/>
      </bottom>
    </border>
    <border>
      <bottom style="hair">
        <color rgb="FFCCCCCC"/>
      </bottom>
    </border>
    <border>
      <top style="hair">
        <color rgb="FFCCCCCC"/>
      </top>
      <bottom style="hair">
        <color rgb="FFCCCCCC"/>
      </bottom>
    </border>
    <border>
      <top style="hair">
        <color rgb="FFCCCCCC"/>
      </top>
    </border>
  </borders>
  <cellStyleXfs count="1">
    <xf borderId="0" fillId="0" fontId="0" numFmtId="0" applyAlignment="1" applyFont="1"/>
  </cellStyleXfs>
  <cellXfs count="757">
    <xf borderId="0" fillId="0" fontId="0" numFmtId="0" xfId="0" applyAlignment="1" applyFont="1">
      <alignment readingOrder="0" shrinkToFit="0" vertical="bottom" wrapText="0"/>
    </xf>
    <xf borderId="1" fillId="2" fontId="1" numFmtId="0" xfId="0" applyAlignment="1" applyBorder="1" applyFill="1" applyFont="1">
      <alignment readingOrder="0" shrinkToFit="0" wrapText="0"/>
    </xf>
    <xf borderId="2" fillId="2" fontId="2" numFmtId="0" xfId="0" applyAlignment="1" applyBorder="1" applyFont="1">
      <alignment horizontal="center" readingOrder="0" shrinkToFit="0" wrapText="0"/>
    </xf>
    <xf borderId="1" fillId="2" fontId="3" numFmtId="0" xfId="0" applyBorder="1" applyFont="1"/>
    <xf borderId="2" fillId="2" fontId="2" numFmtId="164" xfId="0" applyAlignment="1" applyBorder="1" applyFont="1" applyNumberFormat="1">
      <alignment horizontal="center" readingOrder="0" shrinkToFit="0" wrapText="0"/>
    </xf>
    <xf borderId="3" fillId="2" fontId="3" numFmtId="0" xfId="0" applyBorder="1" applyFont="1"/>
    <xf borderId="2" fillId="2" fontId="2" numFmtId="2" xfId="0" applyAlignment="1" applyBorder="1" applyFont="1" applyNumberFormat="1">
      <alignment horizontal="center" readingOrder="0" shrinkToFit="0" wrapText="0"/>
    </xf>
    <xf borderId="4" fillId="2" fontId="2" numFmtId="0" xfId="0" applyAlignment="1" applyBorder="1" applyFont="1">
      <alignment horizontal="center" readingOrder="0" shrinkToFit="0" wrapText="0"/>
    </xf>
    <xf borderId="2" fillId="2" fontId="2" numFmtId="165" xfId="0" applyAlignment="1" applyBorder="1" applyFont="1" applyNumberFormat="1">
      <alignment horizontal="center" readingOrder="0" shrinkToFit="0" wrapText="0"/>
    </xf>
    <xf borderId="4" fillId="2" fontId="1" numFmtId="0" xfId="0" applyAlignment="1" applyBorder="1" applyFont="1">
      <alignment horizontal="left" readingOrder="0" shrinkToFit="0" wrapText="0"/>
    </xf>
    <xf borderId="4" fillId="2" fontId="1" numFmtId="0" xfId="0" applyAlignment="1" applyBorder="1" applyFont="1">
      <alignment horizontal="center" readingOrder="0" shrinkToFit="0" wrapText="0"/>
    </xf>
    <xf borderId="2" fillId="2" fontId="1" numFmtId="165" xfId="0" applyAlignment="1" applyBorder="1" applyFont="1" applyNumberFormat="1">
      <alignment horizontal="center" readingOrder="0" shrinkToFit="0" wrapText="0"/>
    </xf>
    <xf borderId="5" fillId="3" fontId="4" numFmtId="0" xfId="0" applyAlignment="1" applyBorder="1" applyFill="1" applyFont="1">
      <alignment readingOrder="0" shrinkToFit="0" wrapText="0"/>
    </xf>
    <xf borderId="6" fillId="3" fontId="3" numFmtId="166" xfId="0" applyAlignment="1" applyBorder="1" applyFont="1" applyNumberFormat="1">
      <alignment horizontal="right" readingOrder="0" shrinkToFit="0" wrapText="0"/>
    </xf>
    <xf borderId="6" fillId="3" fontId="3" numFmtId="0" xfId="0" applyAlignment="1" applyBorder="1" applyFont="1">
      <alignment readingOrder="0" shrinkToFit="0" wrapText="0"/>
    </xf>
    <xf borderId="6" fillId="3" fontId="3" numFmtId="164" xfId="0" applyAlignment="1" applyBorder="1" applyFont="1" applyNumberFormat="1">
      <alignment horizontal="right" readingOrder="0" shrinkToFit="0" wrapText="0"/>
    </xf>
    <xf borderId="6" fillId="3" fontId="3" numFmtId="0" xfId="0" applyAlignment="1" applyBorder="1" applyFont="1">
      <alignment horizontal="left" shrinkToFit="0" wrapText="0"/>
    </xf>
    <xf borderId="6" fillId="3" fontId="3" numFmtId="0" xfId="0" applyAlignment="1" applyBorder="1" applyFont="1">
      <alignment shrinkToFit="0" wrapText="0"/>
    </xf>
    <xf borderId="6" fillId="3" fontId="3" numFmtId="2" xfId="0" applyAlignment="1" applyBorder="1" applyFont="1" applyNumberFormat="1">
      <alignment horizontal="right" shrinkToFit="0" wrapText="0"/>
    </xf>
    <xf borderId="6" fillId="3" fontId="3" numFmtId="9" xfId="0" applyAlignment="1" applyBorder="1" applyFont="1" applyNumberFormat="1">
      <alignment horizontal="center" readingOrder="0" shrinkToFit="0" wrapText="0"/>
    </xf>
    <xf borderId="6" fillId="3" fontId="3" numFmtId="165" xfId="0" applyAlignment="1" applyBorder="1" applyFont="1" applyNumberFormat="1">
      <alignment readingOrder="0" shrinkToFit="0" wrapText="0"/>
    </xf>
    <xf borderId="6" fillId="3" fontId="5" numFmtId="0" xfId="0" applyAlignment="1" applyBorder="1" applyFont="1">
      <alignment horizontal="left" readingOrder="0" shrinkToFit="0" wrapText="0"/>
    </xf>
    <xf borderId="6" fillId="3" fontId="6" numFmtId="0" xfId="0" applyAlignment="1" applyBorder="1" applyFont="1">
      <alignment readingOrder="0" shrinkToFit="0" wrapText="0"/>
    </xf>
    <xf borderId="6" fillId="3" fontId="3" numFmtId="165" xfId="0" applyAlignment="1" applyBorder="1" applyFont="1" applyNumberFormat="1">
      <alignment readingOrder="0" shrinkToFit="0" wrapText="0"/>
    </xf>
    <xf borderId="6" fillId="3" fontId="7" numFmtId="0" xfId="0" applyAlignment="1" applyBorder="1" applyFont="1">
      <alignment readingOrder="0" shrinkToFit="0" wrapText="0"/>
    </xf>
    <xf borderId="6" fillId="3" fontId="3" numFmtId="0" xfId="0" applyAlignment="1" applyBorder="1" applyFont="1">
      <alignment horizontal="right" readingOrder="0" shrinkToFit="0" wrapText="0"/>
    </xf>
    <xf borderId="7" fillId="3" fontId="3" numFmtId="0" xfId="0" applyAlignment="1" applyBorder="1" applyFont="1">
      <alignment readingOrder="0" shrinkToFit="0" wrapText="0"/>
    </xf>
    <xf borderId="5" fillId="4" fontId="8" numFmtId="0" xfId="0" applyAlignment="1" applyBorder="1" applyFill="1" applyFont="1">
      <alignment vertical="bottom"/>
    </xf>
    <xf borderId="6" fillId="4" fontId="9" numFmtId="166" xfId="0" applyAlignment="1" applyBorder="1" applyFont="1" applyNumberFormat="1">
      <alignment horizontal="right" vertical="bottom"/>
    </xf>
    <xf borderId="6" fillId="4" fontId="9" numFmtId="0" xfId="0" applyAlignment="1" applyBorder="1" applyFont="1">
      <alignment vertical="bottom"/>
    </xf>
    <xf borderId="6" fillId="4" fontId="9" numFmtId="164" xfId="0" applyAlignment="1" applyBorder="1" applyFont="1" applyNumberFormat="1">
      <alignment horizontal="right" vertical="bottom"/>
    </xf>
    <xf borderId="6" fillId="4" fontId="9" numFmtId="0" xfId="0" applyAlignment="1" applyBorder="1" applyFont="1">
      <alignment vertical="bottom"/>
    </xf>
    <xf borderId="6" fillId="4" fontId="9" numFmtId="2" xfId="0" applyAlignment="1" applyBorder="1" applyFont="1" applyNumberFormat="1">
      <alignment horizontal="right" vertical="bottom"/>
    </xf>
    <xf borderId="6" fillId="4" fontId="9" numFmtId="9" xfId="0" applyAlignment="1" applyBorder="1" applyFont="1" applyNumberFormat="1">
      <alignment horizontal="center" vertical="bottom"/>
    </xf>
    <xf borderId="6" fillId="4" fontId="9" numFmtId="165" xfId="0" applyAlignment="1" applyBorder="1" applyFont="1" applyNumberFormat="1">
      <alignment horizontal="right" vertical="bottom"/>
    </xf>
    <xf borderId="6" fillId="4" fontId="10" numFmtId="0" xfId="0" applyAlignment="1" applyBorder="1" applyFont="1">
      <alignment horizontal="left" vertical="bottom"/>
    </xf>
    <xf borderId="6" fillId="4" fontId="9" numFmtId="0" xfId="0" applyAlignment="1" applyBorder="1" applyFont="1">
      <alignment readingOrder="0" vertical="bottom"/>
    </xf>
    <xf borderId="6" fillId="4" fontId="9" numFmtId="165" xfId="0" applyAlignment="1" applyBorder="1" applyFont="1" applyNumberFormat="1">
      <alignment vertical="bottom"/>
    </xf>
    <xf borderId="6" fillId="4" fontId="9" numFmtId="0" xfId="0" applyAlignment="1" applyBorder="1" applyFont="1">
      <alignment horizontal="right" vertical="bottom"/>
    </xf>
    <xf borderId="7" fillId="4" fontId="9" numFmtId="0" xfId="0" applyAlignment="1" applyBorder="1" applyFont="1">
      <alignment vertical="bottom"/>
    </xf>
    <xf borderId="6" fillId="3" fontId="9" numFmtId="0" xfId="0" applyAlignment="1" applyBorder="1" applyFont="1">
      <alignment readingOrder="0" vertical="bottom"/>
    </xf>
    <xf borderId="5" fillId="4" fontId="4" numFmtId="0" xfId="0" applyAlignment="1" applyBorder="1" applyFont="1">
      <alignment readingOrder="0" shrinkToFit="0" wrapText="0"/>
    </xf>
    <xf borderId="6" fillId="4" fontId="3" numFmtId="166" xfId="0" applyAlignment="1" applyBorder="1" applyFont="1" applyNumberFormat="1">
      <alignment horizontal="right" readingOrder="0" shrinkToFit="0" wrapText="0"/>
    </xf>
    <xf borderId="6" fillId="4" fontId="3" numFmtId="0" xfId="0" applyAlignment="1" applyBorder="1" applyFont="1">
      <alignment readingOrder="0" shrinkToFit="0" wrapText="0"/>
    </xf>
    <xf borderId="6" fillId="4" fontId="3" numFmtId="164" xfId="0" applyAlignment="1" applyBorder="1" applyFont="1" applyNumberFormat="1">
      <alignment horizontal="right" readingOrder="0" shrinkToFit="0" wrapText="0"/>
    </xf>
    <xf borderId="6" fillId="4" fontId="3" numFmtId="0" xfId="0" applyAlignment="1" applyBorder="1" applyFont="1">
      <alignment horizontal="left" shrinkToFit="0" wrapText="0"/>
    </xf>
    <xf borderId="6" fillId="4" fontId="3" numFmtId="0" xfId="0" applyAlignment="1" applyBorder="1" applyFont="1">
      <alignment shrinkToFit="0" wrapText="0"/>
    </xf>
    <xf borderId="6" fillId="4" fontId="3" numFmtId="2" xfId="0" applyAlignment="1" applyBorder="1" applyFont="1" applyNumberFormat="1">
      <alignment horizontal="right" shrinkToFit="0" wrapText="0"/>
    </xf>
    <xf borderId="6" fillId="4" fontId="3" numFmtId="9" xfId="0" applyAlignment="1" applyBorder="1" applyFont="1" applyNumberFormat="1">
      <alignment horizontal="center" readingOrder="0" shrinkToFit="0" wrapText="0"/>
    </xf>
    <xf borderId="6" fillId="4" fontId="3" numFmtId="165" xfId="0" applyAlignment="1" applyBorder="1" applyFont="1" applyNumberFormat="1">
      <alignment readingOrder="0" shrinkToFit="0" wrapText="0"/>
    </xf>
    <xf borderId="6" fillId="4" fontId="11" numFmtId="0" xfId="0" applyAlignment="1" applyBorder="1" applyFont="1">
      <alignment horizontal="left" readingOrder="0" shrinkToFit="0" wrapText="0"/>
    </xf>
    <xf borderId="6" fillId="4" fontId="12" numFmtId="0" xfId="0" applyAlignment="1" applyBorder="1" applyFont="1">
      <alignment readingOrder="0" shrinkToFit="0" wrapText="0"/>
    </xf>
    <xf borderId="6" fillId="4" fontId="3" numFmtId="165" xfId="0" applyAlignment="1" applyBorder="1" applyFont="1" applyNumberFormat="1">
      <alignment readingOrder="0" shrinkToFit="0" wrapText="0"/>
    </xf>
    <xf borderId="6" fillId="4" fontId="13" numFmtId="0" xfId="0" applyAlignment="1" applyBorder="1" applyFont="1">
      <alignment readingOrder="0" shrinkToFit="0" wrapText="0"/>
    </xf>
    <xf borderId="6" fillId="4" fontId="3" numFmtId="0" xfId="0" applyAlignment="1" applyBorder="1" applyFont="1">
      <alignment horizontal="right" readingOrder="0" shrinkToFit="0" wrapText="0"/>
    </xf>
    <xf borderId="7" fillId="4" fontId="3" numFmtId="0" xfId="0" applyAlignment="1" applyBorder="1" applyFont="1">
      <alignment readingOrder="0" shrinkToFit="0" wrapText="0"/>
    </xf>
    <xf borderId="6" fillId="4" fontId="3" numFmtId="0" xfId="0" applyAlignment="1" applyBorder="1" applyFont="1">
      <alignment horizontal="right" shrinkToFit="0" wrapText="0"/>
    </xf>
    <xf borderId="6" fillId="3" fontId="3" numFmtId="0" xfId="0" applyAlignment="1" applyBorder="1" applyFont="1">
      <alignment horizontal="left" readingOrder="0" shrinkToFit="0" wrapText="0"/>
    </xf>
    <xf borderId="6" fillId="4" fontId="3" numFmtId="0" xfId="0" applyAlignment="1" applyBorder="1" applyFont="1">
      <alignment horizontal="left" readingOrder="0" shrinkToFit="0" wrapText="0"/>
    </xf>
    <xf borderId="0" fillId="3" fontId="8" numFmtId="0" xfId="0" applyAlignment="1" applyFont="1">
      <alignment vertical="bottom"/>
    </xf>
    <xf borderId="0" fillId="3" fontId="9" numFmtId="166" xfId="0" applyAlignment="1" applyFont="1" applyNumberFormat="1">
      <alignment horizontal="right" vertical="bottom"/>
    </xf>
    <xf borderId="0" fillId="3" fontId="9" numFmtId="0" xfId="0" applyAlignment="1" applyFont="1">
      <alignment vertical="bottom"/>
    </xf>
    <xf borderId="0" fillId="3" fontId="9" numFmtId="164" xfId="0" applyAlignment="1" applyFont="1" applyNumberFormat="1">
      <alignment horizontal="right" vertical="bottom"/>
    </xf>
    <xf borderId="0" fillId="3" fontId="9" numFmtId="2" xfId="0" applyAlignment="1" applyFont="1" applyNumberFormat="1">
      <alignment horizontal="right" vertical="bottom"/>
    </xf>
    <xf borderId="0" fillId="3" fontId="9" numFmtId="0" xfId="0" applyAlignment="1" applyFont="1">
      <alignment vertical="bottom"/>
    </xf>
    <xf borderId="0" fillId="3" fontId="9" numFmtId="9" xfId="0" applyAlignment="1" applyFont="1" applyNumberFormat="1">
      <alignment horizontal="center" vertical="bottom"/>
    </xf>
    <xf borderId="0" fillId="3" fontId="9" numFmtId="165" xfId="0" applyAlignment="1" applyFont="1" applyNumberFormat="1">
      <alignment horizontal="right" vertical="bottom"/>
    </xf>
    <xf borderId="0" fillId="3" fontId="14" numFmtId="0" xfId="0" applyAlignment="1" applyFont="1">
      <alignment vertical="bottom"/>
    </xf>
    <xf borderId="0" fillId="3" fontId="15" numFmtId="0" xfId="0" applyAlignment="1" applyFont="1">
      <alignment readingOrder="0" vertical="bottom"/>
    </xf>
    <xf borderId="0" fillId="3" fontId="9" numFmtId="165" xfId="0" applyAlignment="1" applyFont="1" applyNumberFormat="1">
      <alignment readingOrder="0" vertical="bottom"/>
    </xf>
    <xf borderId="0" fillId="3" fontId="9" numFmtId="0" xfId="0" applyAlignment="1" applyFont="1">
      <alignment readingOrder="0" vertical="bottom"/>
    </xf>
    <xf borderId="0" fillId="3" fontId="9" numFmtId="0" xfId="0" applyAlignment="1" applyFont="1">
      <alignment horizontal="right" vertical="bottom"/>
    </xf>
    <xf borderId="5" fillId="4" fontId="8" numFmtId="0" xfId="0" applyAlignment="1" applyBorder="1" applyFont="1">
      <alignment readingOrder="0" shrinkToFit="0" vertical="center" wrapText="0"/>
    </xf>
    <xf borderId="6" fillId="4" fontId="9" numFmtId="165" xfId="0" applyAlignment="1" applyBorder="1" applyFont="1" applyNumberFormat="1">
      <alignment horizontal="right" readingOrder="0" shrinkToFit="0" vertical="center" wrapText="0"/>
    </xf>
    <xf borderId="6" fillId="4" fontId="16" numFmtId="0" xfId="0" applyAlignment="1" applyBorder="1" applyFont="1">
      <alignment horizontal="left" readingOrder="0" shrinkToFit="0" vertical="center" wrapText="0"/>
    </xf>
    <xf borderId="5" fillId="3" fontId="8" numFmtId="0" xfId="0" applyAlignment="1" applyBorder="1" applyFont="1">
      <alignment readingOrder="0" shrinkToFit="0" vertical="center" wrapText="0"/>
    </xf>
    <xf borderId="6" fillId="3" fontId="3" numFmtId="166" xfId="0" applyAlignment="1" applyBorder="1" applyFont="1" applyNumberFormat="1">
      <alignment horizontal="right" shrinkToFit="0" wrapText="0"/>
    </xf>
    <xf borderId="6" fillId="3" fontId="3" numFmtId="164" xfId="0" applyAlignment="1" applyBorder="1" applyFont="1" applyNumberFormat="1">
      <alignment horizontal="right" shrinkToFit="0" wrapText="0"/>
    </xf>
    <xf borderId="6" fillId="3" fontId="9" numFmtId="165" xfId="0" applyAlignment="1" applyBorder="1" applyFont="1" applyNumberFormat="1">
      <alignment horizontal="right" readingOrder="0" shrinkToFit="0" vertical="center" wrapText="0"/>
    </xf>
    <xf borderId="6" fillId="3" fontId="17" numFmtId="0" xfId="0" applyAlignment="1" applyBorder="1" applyFont="1">
      <alignment horizontal="left" readingOrder="0" shrinkToFit="0" vertical="center" wrapText="0"/>
    </xf>
    <xf borderId="6" fillId="4" fontId="3" numFmtId="166" xfId="0" applyAlignment="1" applyBorder="1" applyFont="1" applyNumberFormat="1">
      <alignment horizontal="right" shrinkToFit="0" wrapText="0"/>
    </xf>
    <xf borderId="6" fillId="4" fontId="3" numFmtId="164" xfId="0" applyAlignment="1" applyBorder="1" applyFont="1" applyNumberFormat="1">
      <alignment horizontal="right" shrinkToFit="0" wrapText="0"/>
    </xf>
    <xf borderId="6" fillId="4" fontId="9" numFmtId="165" xfId="0" applyAlignment="1" applyBorder="1" applyFont="1" applyNumberFormat="1">
      <alignment horizontal="right" shrinkToFit="0" vertical="center" wrapText="0"/>
    </xf>
    <xf borderId="6" fillId="3" fontId="3" numFmtId="0" xfId="0" applyAlignment="1" applyBorder="1" applyFont="1">
      <alignment readingOrder="0" shrinkToFit="0" wrapText="0"/>
    </xf>
    <xf borderId="6" fillId="3" fontId="3" numFmtId="0" xfId="0" applyAlignment="1" applyBorder="1" applyFont="1">
      <alignment horizontal="right" shrinkToFit="0" wrapText="0"/>
    </xf>
    <xf borderId="6" fillId="4" fontId="3" numFmtId="0" xfId="0" applyAlignment="1" applyBorder="1" applyFont="1">
      <alignment readingOrder="0" shrinkToFit="0" wrapText="0"/>
    </xf>
    <xf borderId="5" fillId="4" fontId="0" numFmtId="0" xfId="0" applyAlignment="1" applyBorder="1" applyFont="1">
      <alignment horizontal="left" readingOrder="0" shrinkToFit="0" vertical="center" wrapText="0"/>
    </xf>
    <xf borderId="6" fillId="4" fontId="18" numFmtId="0" xfId="0" applyAlignment="1" applyBorder="1" applyFont="1">
      <alignment horizontal="left" readingOrder="0" shrinkToFit="0" vertical="center" wrapText="0"/>
    </xf>
    <xf borderId="5" fillId="3" fontId="0" numFmtId="0" xfId="0" applyAlignment="1" applyBorder="1" applyFont="1">
      <alignment horizontal="left" readingOrder="0" shrinkToFit="0" vertical="center" wrapText="0"/>
    </xf>
    <xf borderId="6" fillId="3" fontId="19" numFmtId="0" xfId="0" applyAlignment="1" applyBorder="1" applyFont="1">
      <alignment horizontal="left" readingOrder="0" shrinkToFit="0" vertical="center" wrapText="0"/>
    </xf>
    <xf borderId="5" fillId="3" fontId="8" numFmtId="0" xfId="0" applyAlignment="1" applyBorder="1" applyFont="1">
      <alignment readingOrder="0"/>
    </xf>
    <xf borderId="5" fillId="4" fontId="8" numFmtId="0" xfId="0" applyBorder="1" applyFont="1"/>
    <xf borderId="6" fillId="4" fontId="9" numFmtId="165" xfId="0" applyAlignment="1" applyBorder="1" applyFont="1" applyNumberFormat="1">
      <alignment horizontal="right"/>
    </xf>
    <xf borderId="6" fillId="4" fontId="20" numFmtId="0" xfId="0" applyAlignment="1" applyBorder="1" applyFont="1">
      <alignment horizontal="left"/>
    </xf>
    <xf borderId="6" fillId="4" fontId="21" numFmtId="0" xfId="0" applyAlignment="1" applyBorder="1" applyFont="1">
      <alignment readingOrder="0" vertical="bottom"/>
    </xf>
    <xf borderId="6" fillId="4" fontId="9" numFmtId="165" xfId="0" applyAlignment="1" applyBorder="1" applyFont="1" applyNumberFormat="1">
      <alignment readingOrder="0" vertical="bottom"/>
    </xf>
    <xf borderId="6" fillId="3" fontId="22" numFmtId="0" xfId="0" applyAlignment="1" applyBorder="1" applyFont="1">
      <alignment horizontal="left" readingOrder="0" shrinkToFit="0" vertical="center" wrapText="0"/>
    </xf>
    <xf borderId="6" fillId="3" fontId="3" numFmtId="2" xfId="0" applyAlignment="1" applyBorder="1" applyFont="1" applyNumberFormat="1">
      <alignment horizontal="right" readingOrder="0" shrinkToFit="0" wrapText="0"/>
    </xf>
    <xf borderId="6" fillId="3" fontId="9" numFmtId="165" xfId="0" applyAlignment="1" applyBorder="1" applyFont="1" applyNumberFormat="1">
      <alignment horizontal="right" readingOrder="0" shrinkToFit="0" vertical="center" wrapText="0"/>
    </xf>
    <xf borderId="6" fillId="4" fontId="9" numFmtId="165" xfId="0" applyAlignment="1" applyBorder="1" applyFont="1" applyNumberFormat="1">
      <alignment horizontal="right" readingOrder="0" shrinkToFit="0" vertical="center" wrapText="0"/>
    </xf>
    <xf borderId="6" fillId="4" fontId="3" numFmtId="1" xfId="0" applyAlignment="1" applyBorder="1" applyFont="1" applyNumberFormat="1">
      <alignment horizontal="right" readingOrder="0" shrinkToFit="0" wrapText="0"/>
    </xf>
    <xf borderId="5" fillId="3" fontId="9" numFmtId="0" xfId="0" applyAlignment="1" applyBorder="1" applyFont="1">
      <alignment readingOrder="0" shrinkToFit="0" vertical="center" wrapText="0"/>
    </xf>
    <xf borderId="6" fillId="3" fontId="9" numFmtId="0" xfId="0" applyAlignment="1" applyBorder="1" applyFont="1">
      <alignment horizontal="left" readingOrder="0" shrinkToFit="0" vertical="center" wrapText="0"/>
    </xf>
    <xf borderId="6" fillId="3" fontId="9" numFmtId="0" xfId="0" applyAlignment="1" applyBorder="1" applyFont="1">
      <alignment readingOrder="0" shrinkToFit="0" vertical="center" wrapText="0"/>
    </xf>
    <xf borderId="6" fillId="3" fontId="9" numFmtId="165" xfId="0" applyAlignment="1" applyBorder="1" applyFont="1" applyNumberFormat="1">
      <alignment readingOrder="0" shrinkToFit="0" vertical="center" wrapText="0"/>
    </xf>
    <xf borderId="6" fillId="3" fontId="23" numFmtId="0" xfId="0" applyAlignment="1" applyBorder="1" applyFont="1">
      <alignment readingOrder="0" shrinkToFit="0" vertical="center" wrapText="0"/>
    </xf>
    <xf borderId="5" fillId="4" fontId="3" numFmtId="0" xfId="0" applyAlignment="1" applyBorder="1" applyFont="1">
      <alignment readingOrder="0" shrinkToFit="0" wrapText="0"/>
    </xf>
    <xf borderId="6" fillId="4" fontId="3" numFmtId="165" xfId="0" applyAlignment="1" applyBorder="1" applyFont="1" applyNumberFormat="1">
      <alignment readingOrder="0"/>
    </xf>
    <xf borderId="6" fillId="4" fontId="3" numFmtId="0" xfId="0" applyAlignment="1" applyBorder="1" applyFont="1">
      <alignment readingOrder="0"/>
    </xf>
    <xf borderId="6" fillId="4" fontId="24" numFmtId="0" xfId="0" applyAlignment="1" applyBorder="1" applyFont="1">
      <alignment horizontal="left" readingOrder="0" shrinkToFit="0" wrapText="0"/>
    </xf>
    <xf borderId="6" fillId="4" fontId="3" numFmtId="0" xfId="0" applyAlignment="1" applyBorder="1" applyFont="1">
      <alignment horizontal="right" readingOrder="0"/>
    </xf>
    <xf borderId="8" fillId="4" fontId="3" numFmtId="0" xfId="0" applyAlignment="1" applyBorder="1" applyFont="1">
      <alignment readingOrder="0"/>
    </xf>
    <xf borderId="5" fillId="3" fontId="3" numFmtId="0" xfId="0" applyAlignment="1" applyBorder="1" applyFont="1">
      <alignment readingOrder="0" shrinkToFit="0" wrapText="0"/>
    </xf>
    <xf borderId="6" fillId="3" fontId="3" numFmtId="1" xfId="0" applyAlignment="1" applyBorder="1" applyFont="1" applyNumberFormat="1">
      <alignment horizontal="right" readingOrder="0" shrinkToFit="0" wrapText="0"/>
    </xf>
    <xf borderId="6" fillId="3" fontId="3" numFmtId="9" xfId="0" applyAlignment="1" applyBorder="1" applyFont="1" applyNumberFormat="1">
      <alignment horizontal="center" readingOrder="0"/>
    </xf>
    <xf borderId="6" fillId="3" fontId="3" numFmtId="165" xfId="0" applyAlignment="1" applyBorder="1" applyFont="1" applyNumberFormat="1">
      <alignment readingOrder="0"/>
    </xf>
    <xf borderId="6" fillId="3" fontId="3" numFmtId="0" xfId="0" applyAlignment="1" applyBorder="1" applyFont="1">
      <alignment readingOrder="0"/>
    </xf>
    <xf borderId="6" fillId="3" fontId="25" numFmtId="0" xfId="0" applyAlignment="1" applyBorder="1" applyFont="1">
      <alignment horizontal="left" readingOrder="0" shrinkToFit="0" wrapText="0"/>
    </xf>
    <xf borderId="6" fillId="3" fontId="26" numFmtId="0" xfId="0" applyAlignment="1" applyBorder="1" applyFont="1">
      <alignment horizontal="center" shrinkToFit="0" wrapText="0"/>
    </xf>
    <xf borderId="6" fillId="3" fontId="3" numFmtId="164" xfId="0" applyAlignment="1" applyBorder="1" applyFont="1" applyNumberFormat="1">
      <alignment horizontal="right"/>
    </xf>
    <xf borderId="8" fillId="3" fontId="3" numFmtId="0" xfId="0" applyAlignment="1" applyBorder="1" applyFont="1">
      <alignment readingOrder="0"/>
    </xf>
    <xf borderId="6" fillId="4" fontId="3" numFmtId="0" xfId="0" applyAlignment="1" applyBorder="1" applyFont="1">
      <alignment horizontal="right"/>
    </xf>
    <xf borderId="6" fillId="4" fontId="3" numFmtId="0" xfId="0" applyBorder="1" applyFont="1"/>
    <xf borderId="6" fillId="4" fontId="3" numFmtId="164" xfId="0" applyAlignment="1" applyBorder="1" applyFont="1" applyNumberFormat="1">
      <alignment horizontal="right"/>
    </xf>
    <xf borderId="6" fillId="4" fontId="3" numFmtId="0" xfId="0" applyAlignment="1" applyBorder="1" applyFont="1">
      <alignment horizontal="left"/>
    </xf>
    <xf borderId="6" fillId="4" fontId="3" numFmtId="2" xfId="0" applyAlignment="1" applyBorder="1" applyFont="1" applyNumberFormat="1">
      <alignment horizontal="right"/>
    </xf>
    <xf borderId="6" fillId="4" fontId="3" numFmtId="9" xfId="0" applyAlignment="1" applyBorder="1" applyFont="1" applyNumberFormat="1">
      <alignment horizontal="center"/>
    </xf>
    <xf borderId="6" fillId="4" fontId="4" numFmtId="0" xfId="0" applyAlignment="1" applyBorder="1" applyFont="1">
      <alignment horizontal="center" readingOrder="0" shrinkToFit="0" wrapText="0"/>
    </xf>
    <xf borderId="6" fillId="4" fontId="3" numFmtId="165" xfId="0" applyAlignment="1" applyBorder="1" applyFont="1" applyNumberFormat="1">
      <alignment horizontal="center" shrinkToFit="0" wrapText="0"/>
    </xf>
    <xf borderId="6" fillId="4" fontId="27" numFmtId="0" xfId="0" applyAlignment="1" applyBorder="1" applyFont="1">
      <alignment horizontal="center" shrinkToFit="0" wrapText="0"/>
    </xf>
    <xf borderId="6" fillId="4" fontId="3" numFmtId="1" xfId="0" applyAlignment="1" applyBorder="1" applyFont="1" applyNumberFormat="1">
      <alignment horizontal="right"/>
    </xf>
    <xf borderId="6" fillId="3" fontId="3" numFmtId="0" xfId="0" applyAlignment="1" applyBorder="1" applyFont="1">
      <alignment horizontal="right"/>
    </xf>
    <xf borderId="6" fillId="3" fontId="3" numFmtId="0" xfId="0" applyBorder="1" applyFont="1"/>
    <xf borderId="6" fillId="3" fontId="3" numFmtId="0" xfId="0" applyAlignment="1" applyBorder="1" applyFont="1">
      <alignment horizontal="left"/>
    </xf>
    <xf borderId="6" fillId="3" fontId="3" numFmtId="2" xfId="0" applyAlignment="1" applyBorder="1" applyFont="1" applyNumberFormat="1">
      <alignment horizontal="right"/>
    </xf>
    <xf borderId="6" fillId="3" fontId="3" numFmtId="9" xfId="0" applyAlignment="1" applyBorder="1" applyFont="1" applyNumberFormat="1">
      <alignment horizontal="center"/>
    </xf>
    <xf borderId="6" fillId="3" fontId="4" numFmtId="0" xfId="0" applyAlignment="1" applyBorder="1" applyFont="1">
      <alignment horizontal="center" readingOrder="0" shrinkToFit="0" wrapText="0"/>
    </xf>
    <xf borderId="6" fillId="3" fontId="3" numFmtId="165" xfId="0" applyAlignment="1" applyBorder="1" applyFont="1" applyNumberFormat="1">
      <alignment horizontal="center" shrinkToFit="0" wrapText="0"/>
    </xf>
    <xf borderId="6" fillId="3" fontId="3" numFmtId="1" xfId="0" applyAlignment="1" applyBorder="1" applyFont="1" applyNumberFormat="1">
      <alignment horizontal="right"/>
    </xf>
    <xf borderId="6" fillId="4" fontId="3" numFmtId="164" xfId="0" applyAlignment="1" applyBorder="1" applyFont="1" applyNumberFormat="1">
      <alignment horizontal="right" readingOrder="0"/>
    </xf>
    <xf borderId="6" fillId="4" fontId="3" numFmtId="0" xfId="0" applyAlignment="1" applyBorder="1" applyFont="1">
      <alignment horizontal="left" readingOrder="0"/>
    </xf>
    <xf borderId="6" fillId="4" fontId="28" numFmtId="0" xfId="0" applyAlignment="1" applyBorder="1" applyFont="1">
      <alignment horizontal="center" readingOrder="0" shrinkToFit="0" wrapText="0"/>
    </xf>
    <xf borderId="6" fillId="4" fontId="3" numFmtId="165" xfId="0" applyAlignment="1" applyBorder="1" applyFont="1" applyNumberFormat="1">
      <alignment horizontal="center" readingOrder="0" shrinkToFit="0" wrapText="0"/>
    </xf>
    <xf borderId="6" fillId="4" fontId="29" numFmtId="0" xfId="0" applyAlignment="1" applyBorder="1" applyFont="1">
      <alignment horizontal="center" readingOrder="0" shrinkToFit="0" wrapText="0"/>
    </xf>
    <xf borderId="6" fillId="3" fontId="3" numFmtId="164" xfId="0" applyAlignment="1" applyBorder="1" applyFont="1" applyNumberFormat="1">
      <alignment horizontal="right" readingOrder="0"/>
    </xf>
    <xf borderId="6" fillId="3" fontId="3" numFmtId="0" xfId="0" applyAlignment="1" applyBorder="1" applyFont="1">
      <alignment horizontal="left" readingOrder="0"/>
    </xf>
    <xf borderId="6" fillId="3" fontId="3" numFmtId="0" xfId="0" applyAlignment="1" applyBorder="1" applyFont="1">
      <alignment horizontal="right" readingOrder="0"/>
    </xf>
    <xf borderId="5" fillId="3" fontId="3" numFmtId="0" xfId="0" applyAlignment="1" applyBorder="1" applyFont="1">
      <alignment shrinkToFit="0" wrapText="0"/>
    </xf>
    <xf borderId="6" fillId="3" fontId="3" numFmtId="165" xfId="0" applyBorder="1" applyFont="1" applyNumberFormat="1"/>
    <xf borderId="6" fillId="3" fontId="30" numFmtId="0" xfId="0" applyAlignment="1" applyBorder="1" applyFont="1">
      <alignment horizontal="center" shrinkToFit="0" wrapText="0"/>
    </xf>
    <xf borderId="8" fillId="3" fontId="3" numFmtId="0" xfId="0" applyBorder="1" applyFont="1"/>
    <xf borderId="5" fillId="4" fontId="3" numFmtId="0" xfId="0" applyAlignment="1" applyBorder="1" applyFont="1">
      <alignment shrinkToFit="0" wrapText="0"/>
    </xf>
    <xf borderId="6" fillId="4" fontId="3" numFmtId="165" xfId="0" applyBorder="1" applyFont="1" applyNumberFormat="1"/>
    <xf borderId="6" fillId="4" fontId="30" numFmtId="0" xfId="0" applyAlignment="1" applyBorder="1" applyFont="1">
      <alignment horizontal="center" shrinkToFit="0" wrapText="0"/>
    </xf>
    <xf borderId="8" fillId="4" fontId="3" numFmtId="0" xfId="0" applyBorder="1" applyFont="1"/>
    <xf borderId="9" fillId="3" fontId="3" numFmtId="0" xfId="0" applyAlignment="1" applyBorder="1" applyFont="1">
      <alignment shrinkToFit="0" wrapText="0"/>
    </xf>
    <xf borderId="10" fillId="3" fontId="3" numFmtId="0" xfId="0" applyAlignment="1" applyBorder="1" applyFont="1">
      <alignment horizontal="right"/>
    </xf>
    <xf borderId="10" fillId="3" fontId="3" numFmtId="0" xfId="0" applyBorder="1" applyFont="1"/>
    <xf borderId="10" fillId="3" fontId="3" numFmtId="164" xfId="0" applyAlignment="1" applyBorder="1" applyFont="1" applyNumberFormat="1">
      <alignment horizontal="right"/>
    </xf>
    <xf borderId="10" fillId="3" fontId="3" numFmtId="0" xfId="0" applyAlignment="1" applyBorder="1" applyFont="1">
      <alignment horizontal="left"/>
    </xf>
    <xf borderId="10" fillId="3" fontId="3" numFmtId="2" xfId="0" applyAlignment="1" applyBorder="1" applyFont="1" applyNumberFormat="1">
      <alignment horizontal="right"/>
    </xf>
    <xf borderId="10" fillId="3" fontId="3" numFmtId="9" xfId="0" applyAlignment="1" applyBorder="1" applyFont="1" applyNumberFormat="1">
      <alignment horizontal="center"/>
    </xf>
    <xf borderId="10" fillId="3" fontId="3" numFmtId="165" xfId="0" applyBorder="1" applyFont="1" applyNumberFormat="1"/>
    <xf borderId="10" fillId="3" fontId="3" numFmtId="0" xfId="0" applyAlignment="1" applyBorder="1" applyFont="1">
      <alignment horizontal="left" shrinkToFit="0" wrapText="0"/>
    </xf>
    <xf borderId="10" fillId="3" fontId="30" numFmtId="0" xfId="0" applyAlignment="1" applyBorder="1" applyFont="1">
      <alignment horizontal="center" shrinkToFit="0" wrapText="0"/>
    </xf>
    <xf borderId="10" fillId="3" fontId="3" numFmtId="165" xfId="0" applyAlignment="1" applyBorder="1" applyFont="1" applyNumberFormat="1">
      <alignment horizontal="center" shrinkToFit="0" wrapText="0"/>
    </xf>
    <xf borderId="10" fillId="3" fontId="31" numFmtId="0" xfId="0" applyAlignment="1" applyBorder="1" applyFont="1">
      <alignment horizontal="center" shrinkToFit="0" wrapText="0"/>
    </xf>
    <xf borderId="11" fillId="3" fontId="3" numFmtId="0" xfId="0" applyBorder="1" applyFont="1"/>
    <xf borderId="0" fillId="0" fontId="3" numFmtId="0" xfId="0" applyAlignment="1" applyFont="1">
      <alignment horizontal="center"/>
    </xf>
    <xf borderId="12" fillId="5" fontId="32" numFmtId="0" xfId="0" applyAlignment="1" applyBorder="1" applyFill="1" applyFont="1">
      <alignment horizontal="center" readingOrder="0" vertical="center"/>
    </xf>
    <xf borderId="13" fillId="0" fontId="3" numFmtId="0" xfId="0" applyBorder="1" applyFont="1"/>
    <xf borderId="14" fillId="0" fontId="3" numFmtId="0" xfId="0" applyBorder="1" applyFont="1"/>
    <xf borderId="15" fillId="3" fontId="9" numFmtId="0" xfId="0" applyAlignment="1" applyBorder="1" applyFont="1">
      <alignment vertical="bottom"/>
    </xf>
    <xf borderId="0" fillId="3" fontId="9" numFmtId="0" xfId="0" applyAlignment="1" applyFont="1">
      <alignment vertical="bottom"/>
    </xf>
    <xf borderId="16" fillId="3" fontId="9" numFmtId="0" xfId="0" applyAlignment="1" applyBorder="1" applyFont="1">
      <alignment vertical="bottom"/>
    </xf>
    <xf borderId="15" fillId="0" fontId="9" numFmtId="0" xfId="0" applyAlignment="1" applyBorder="1" applyFont="1">
      <alignment vertical="bottom"/>
    </xf>
    <xf borderId="17" fillId="3" fontId="33" numFmtId="0" xfId="0" applyAlignment="1" applyBorder="1" applyFont="1">
      <alignment readingOrder="0" vertical="bottom"/>
    </xf>
    <xf borderId="17" fillId="0" fontId="3" numFmtId="0" xfId="0" applyBorder="1" applyFont="1"/>
    <xf borderId="18" fillId="0" fontId="34" numFmtId="0" xfId="0" applyAlignment="1" applyBorder="1" applyFont="1">
      <alignment readingOrder="0" vertical="bottom"/>
    </xf>
    <xf borderId="18" fillId="0" fontId="3" numFmtId="0" xfId="0" applyBorder="1" applyFont="1"/>
    <xf borderId="18" fillId="0" fontId="3" numFmtId="167" xfId="0" applyAlignment="1" applyBorder="1" applyFont="1" applyNumberFormat="1">
      <alignment horizontal="left"/>
    </xf>
    <xf borderId="18" fillId="0" fontId="34" numFmtId="0" xfId="0" applyAlignment="1" applyBorder="1" applyFont="1">
      <alignment vertical="bottom"/>
    </xf>
    <xf borderId="18" fillId="3" fontId="33" numFmtId="0" xfId="0" applyAlignment="1" applyBorder="1" applyFont="1">
      <alignment readingOrder="0" vertical="bottom"/>
    </xf>
    <xf borderId="18" fillId="0" fontId="3" numFmtId="0" xfId="0" applyAlignment="1" applyBorder="1" applyFont="1">
      <alignment readingOrder="0"/>
    </xf>
    <xf borderId="18" fillId="3" fontId="34" numFmtId="0" xfId="0" applyAlignment="1" applyBorder="1" applyFont="1">
      <alignment vertical="bottom"/>
    </xf>
    <xf borderId="19" fillId="3" fontId="9" numFmtId="0" xfId="0" applyAlignment="1" applyBorder="1" applyFont="1">
      <alignment vertical="bottom"/>
    </xf>
    <xf borderId="20" fillId="3" fontId="9" numFmtId="0" xfId="0" applyAlignment="1" applyBorder="1" applyFont="1">
      <alignment vertical="bottom"/>
    </xf>
    <xf borderId="21" fillId="3" fontId="9" numFmtId="0" xfId="0" applyAlignment="1" applyBorder="1" applyFont="1">
      <alignment vertical="bottom"/>
    </xf>
    <xf borderId="22" fillId="6" fontId="35" numFmtId="0" xfId="0" applyAlignment="1" applyBorder="1" applyFill="1" applyFont="1">
      <alignment horizontal="center" vertical="bottom"/>
    </xf>
    <xf borderId="23" fillId="0" fontId="3" numFmtId="0" xfId="0" applyBorder="1" applyFont="1"/>
    <xf borderId="24" fillId="0" fontId="3" numFmtId="0" xfId="0" applyBorder="1" applyFont="1"/>
    <xf borderId="25" fillId="0" fontId="36" numFmtId="0" xfId="0" applyBorder="1" applyFont="1"/>
    <xf borderId="26" fillId="0" fontId="3" numFmtId="0" xfId="0" applyBorder="1" applyFont="1"/>
    <xf borderId="26" fillId="0" fontId="37" numFmtId="0" xfId="0" applyBorder="1" applyFont="1"/>
    <xf borderId="26" fillId="0" fontId="38" numFmtId="0" xfId="0" applyBorder="1" applyFont="1"/>
    <xf borderId="27" fillId="0" fontId="3" numFmtId="0" xfId="0" applyBorder="1" applyFont="1"/>
    <xf borderId="28" fillId="0" fontId="37" numFmtId="0" xfId="0" applyAlignment="1" applyBorder="1" applyFont="1">
      <alignment shrinkToFit="0" wrapText="0"/>
    </xf>
    <xf borderId="26" fillId="3" fontId="9" numFmtId="0" xfId="0" applyAlignment="1" applyBorder="1" applyFont="1">
      <alignment vertical="bottom"/>
    </xf>
    <xf borderId="29" fillId="0" fontId="36" numFmtId="0" xfId="0" applyAlignment="1" applyBorder="1" applyFont="1">
      <alignment shrinkToFit="0" wrapText="1"/>
    </xf>
    <xf borderId="30" fillId="0" fontId="3" numFmtId="0" xfId="0" applyBorder="1" applyFont="1"/>
    <xf borderId="31" fillId="0" fontId="3" numFmtId="0" xfId="0" applyBorder="1" applyFont="1"/>
    <xf borderId="0" fillId="5" fontId="32" numFmtId="0" xfId="0" applyAlignment="1" applyFont="1">
      <alignment horizontal="center" readingOrder="0" vertical="center"/>
    </xf>
    <xf borderId="0" fillId="0" fontId="39" numFmtId="0" xfId="0" applyAlignment="1" applyFont="1">
      <alignment horizontal="left" readingOrder="0" vertical="center"/>
    </xf>
    <xf borderId="0" fillId="0" fontId="9" numFmtId="0" xfId="0" applyAlignment="1" applyFont="1">
      <alignment vertical="center"/>
    </xf>
    <xf borderId="0" fillId="0" fontId="40" numFmtId="0" xfId="0" applyAlignment="1" applyFont="1">
      <alignment horizontal="right" readingOrder="0" vertical="center"/>
    </xf>
    <xf borderId="0" fillId="0" fontId="40" numFmtId="0" xfId="0" applyAlignment="1" applyFont="1">
      <alignment horizontal="left" readingOrder="0" vertical="center"/>
    </xf>
    <xf borderId="17" fillId="0" fontId="39" numFmtId="0" xfId="0" applyAlignment="1" applyBorder="1" applyFont="1">
      <alignment horizontal="left" readingOrder="0" vertical="center"/>
    </xf>
    <xf borderId="17" fillId="0" fontId="41" numFmtId="0" xfId="0" applyAlignment="1" applyBorder="1" applyFont="1">
      <alignment horizontal="left" readingOrder="0" vertical="center"/>
    </xf>
    <xf borderId="32" fillId="0" fontId="42" numFmtId="0" xfId="0" applyAlignment="1" applyBorder="1" applyFont="1">
      <alignment horizontal="center" readingOrder="0" vertical="center"/>
    </xf>
    <xf borderId="33" fillId="0" fontId="3" numFmtId="0" xfId="0" applyBorder="1" applyFont="1"/>
    <xf borderId="17" fillId="0" fontId="9" numFmtId="0" xfId="0" applyAlignment="1" applyBorder="1" applyFont="1">
      <alignment vertical="center"/>
    </xf>
    <xf borderId="32" fillId="0" fontId="43" numFmtId="0" xfId="0" applyAlignment="1" applyBorder="1" applyFont="1">
      <alignment readingOrder="0"/>
    </xf>
    <xf borderId="33" fillId="0" fontId="42" numFmtId="0" xfId="0" applyAlignment="1" applyBorder="1" applyFont="1">
      <alignment horizontal="left" readingOrder="0" vertical="center"/>
    </xf>
    <xf borderId="18" fillId="0" fontId="39" numFmtId="0" xfId="0" applyAlignment="1" applyBorder="1" applyFont="1">
      <alignment horizontal="left" readingOrder="0" vertical="center"/>
    </xf>
    <xf borderId="18" fillId="0" fontId="40" numFmtId="0" xfId="0" applyAlignment="1" applyBorder="1" applyFont="1">
      <alignment horizontal="right" readingOrder="0" vertical="center"/>
    </xf>
    <xf borderId="18" fillId="0" fontId="9" numFmtId="0" xfId="0" applyAlignment="1" applyBorder="1" applyFont="1">
      <alignment vertical="center"/>
    </xf>
    <xf borderId="32" fillId="0" fontId="44" numFmtId="1" xfId="0" applyAlignment="1" applyBorder="1" applyFont="1" applyNumberFormat="1">
      <alignment horizontal="center" readingOrder="0" vertical="center"/>
    </xf>
    <xf borderId="18" fillId="0" fontId="9" numFmtId="0" xfId="0" applyAlignment="1" applyBorder="1" applyFont="1">
      <alignment horizontal="left" vertical="center"/>
    </xf>
    <xf borderId="18" fillId="0" fontId="34" numFmtId="10" xfId="0" applyAlignment="1" applyBorder="1" applyFont="1" applyNumberFormat="1">
      <alignment horizontal="left" readingOrder="0" vertical="center"/>
    </xf>
    <xf borderId="17" fillId="0" fontId="34" numFmtId="10" xfId="0" applyAlignment="1" applyBorder="1" applyFont="1" applyNumberFormat="1">
      <alignment horizontal="center" readingOrder="0" vertical="center"/>
    </xf>
    <xf borderId="17" fillId="0" fontId="9" numFmtId="0" xfId="0" applyAlignment="1" applyBorder="1" applyFont="1">
      <alignment horizontal="left" vertical="center"/>
    </xf>
    <xf borderId="18" fillId="0" fontId="9" numFmtId="4" xfId="0" applyAlignment="1" applyBorder="1" applyFont="1" applyNumberFormat="1">
      <alignment horizontal="left" readingOrder="0" vertical="center"/>
    </xf>
    <xf borderId="18" fillId="0" fontId="34" numFmtId="1" xfId="0" applyAlignment="1" applyBorder="1" applyFont="1" applyNumberFormat="1">
      <alignment horizontal="right" vertical="center"/>
    </xf>
    <xf borderId="18" fillId="0" fontId="40" numFmtId="0" xfId="0" applyAlignment="1" applyBorder="1" applyFont="1">
      <alignment horizontal="left" readingOrder="0" vertical="center"/>
    </xf>
    <xf borderId="0" fillId="0" fontId="9" numFmtId="0" xfId="0" applyAlignment="1" applyFont="1">
      <alignment horizontal="left" vertical="center"/>
    </xf>
    <xf borderId="0" fillId="0" fontId="9" numFmtId="2" xfId="0" applyAlignment="1" applyFont="1" applyNumberFormat="1">
      <alignment horizontal="right" vertical="center"/>
    </xf>
    <xf borderId="0" fillId="0" fontId="9" numFmtId="0" xfId="0" applyAlignment="1" applyFont="1">
      <alignment horizontal="left" readingOrder="0" vertical="center"/>
    </xf>
    <xf borderId="0" fillId="0" fontId="9" numFmtId="2" xfId="0" applyAlignment="1" applyFont="1" applyNumberFormat="1">
      <alignment horizontal="center" vertical="center"/>
    </xf>
    <xf borderId="0" fillId="0" fontId="9" numFmtId="168" xfId="0" applyAlignment="1" applyFont="1" applyNumberFormat="1">
      <alignment horizontal="left" readingOrder="0" vertical="center"/>
    </xf>
    <xf borderId="0" fillId="0" fontId="1" numFmtId="0" xfId="0" applyFont="1"/>
    <xf borderId="20" fillId="0" fontId="45" numFmtId="0" xfId="0" applyAlignment="1" applyBorder="1" applyFont="1">
      <alignment horizontal="center" readingOrder="0" vertical="center"/>
    </xf>
    <xf borderId="19" fillId="0" fontId="45" numFmtId="0" xfId="0" applyAlignment="1" applyBorder="1" applyFont="1">
      <alignment horizontal="center" readingOrder="0" vertical="center"/>
    </xf>
    <xf borderId="20" fillId="0" fontId="3" numFmtId="0" xfId="0" applyBorder="1" applyFont="1"/>
    <xf borderId="19" fillId="0" fontId="45" numFmtId="2" xfId="0" applyAlignment="1" applyBorder="1" applyFont="1" applyNumberFormat="1">
      <alignment horizontal="center" vertical="center"/>
    </xf>
    <xf borderId="21" fillId="0" fontId="3" numFmtId="0" xfId="0" applyBorder="1" applyFont="1"/>
    <xf borderId="20" fillId="0" fontId="45" numFmtId="164" xfId="0" applyAlignment="1" applyBorder="1" applyFont="1" applyNumberFormat="1">
      <alignment horizontal="center" vertical="center"/>
    </xf>
    <xf borderId="15" fillId="0" fontId="46" numFmtId="0" xfId="0" applyAlignment="1" applyBorder="1" applyFont="1">
      <alignment horizontal="center" readingOrder="0" shrinkToFit="0" textRotation="90" vertical="center" wrapText="1"/>
    </xf>
    <xf borderId="34" fillId="3" fontId="47" numFmtId="0" xfId="0" applyAlignment="1" applyBorder="1" applyFont="1">
      <alignment horizontal="center" readingOrder="0" vertical="center"/>
    </xf>
    <xf borderId="17" fillId="3" fontId="48" numFmtId="0" xfId="0" applyAlignment="1" applyBorder="1" applyFont="1">
      <alignment horizontal="left" readingOrder="0" vertical="center"/>
    </xf>
    <xf borderId="17" fillId="3" fontId="3" numFmtId="0" xfId="0" applyBorder="1" applyFont="1"/>
    <xf borderId="35" fillId="3" fontId="46" numFmtId="2" xfId="0" applyAlignment="1" applyBorder="1" applyFont="1" applyNumberFormat="1">
      <alignment horizontal="right" vertical="center"/>
    </xf>
    <xf borderId="35" fillId="3" fontId="46" numFmtId="1" xfId="0" applyAlignment="1" applyBorder="1" applyFont="1" applyNumberFormat="1">
      <alignment horizontal="left" readingOrder="0" vertical="center"/>
    </xf>
    <xf borderId="35" fillId="3" fontId="46" numFmtId="1" xfId="0" applyAlignment="1" applyBorder="1" applyFont="1" applyNumberFormat="1">
      <alignment horizontal="right"/>
    </xf>
    <xf borderId="35" fillId="3" fontId="46" numFmtId="164" xfId="0" applyAlignment="1" applyBorder="1" applyFont="1" applyNumberFormat="1">
      <alignment horizontal="left" readingOrder="0" vertical="center"/>
    </xf>
    <xf borderId="36" fillId="3" fontId="46" numFmtId="1" xfId="0" applyAlignment="1" applyBorder="1" applyFont="1" applyNumberFormat="1">
      <alignment horizontal="left" readingOrder="0" vertical="center"/>
    </xf>
    <xf borderId="15" fillId="0" fontId="3" numFmtId="0" xfId="0" applyBorder="1" applyFont="1"/>
    <xf borderId="37" fillId="4" fontId="47" numFmtId="0" xfId="0" applyAlignment="1" applyBorder="1" applyFont="1">
      <alignment horizontal="center" readingOrder="0" vertical="center"/>
    </xf>
    <xf borderId="18" fillId="4" fontId="48" numFmtId="0" xfId="0" applyAlignment="1" applyBorder="1" applyFont="1">
      <alignment horizontal="left" readingOrder="0" vertical="center"/>
    </xf>
    <xf borderId="18" fillId="4" fontId="3" numFmtId="0" xfId="0" applyBorder="1" applyFont="1"/>
    <xf borderId="38" fillId="4" fontId="46" numFmtId="2" xfId="0" applyAlignment="1" applyBorder="1" applyFont="1" applyNumberFormat="1">
      <alignment horizontal="right" vertical="center"/>
    </xf>
    <xf borderId="38" fillId="4" fontId="46" numFmtId="1" xfId="0" applyAlignment="1" applyBorder="1" applyFont="1" applyNumberFormat="1">
      <alignment horizontal="left" readingOrder="0" vertical="center"/>
    </xf>
    <xf borderId="35" fillId="4" fontId="46" numFmtId="1" xfId="0" applyAlignment="1" applyBorder="1" applyFont="1" applyNumberFormat="1">
      <alignment horizontal="right"/>
    </xf>
    <xf borderId="38" fillId="4" fontId="46" numFmtId="164" xfId="0" applyAlignment="1" applyBorder="1" applyFont="1" applyNumberFormat="1">
      <alignment horizontal="left" readingOrder="0" vertical="center"/>
    </xf>
    <xf borderId="39" fillId="4" fontId="46" numFmtId="1" xfId="0" applyAlignment="1" applyBorder="1" applyFont="1" applyNumberFormat="1">
      <alignment horizontal="left" readingOrder="0" vertical="center"/>
    </xf>
    <xf borderId="19" fillId="0" fontId="3" numFmtId="0" xfId="0" applyBorder="1" applyFont="1"/>
    <xf borderId="37" fillId="3" fontId="47" numFmtId="0" xfId="0" applyAlignment="1" applyBorder="1" applyFont="1">
      <alignment horizontal="center" readingOrder="0" vertical="center"/>
    </xf>
    <xf borderId="18" fillId="3" fontId="48" numFmtId="0" xfId="0" applyAlignment="1" applyBorder="1" applyFont="1">
      <alignment horizontal="left" readingOrder="0" vertical="center"/>
    </xf>
    <xf borderId="18" fillId="3" fontId="3" numFmtId="0" xfId="0" applyBorder="1" applyFont="1"/>
    <xf borderId="38" fillId="3" fontId="46" numFmtId="2" xfId="0" applyAlignment="1" applyBorder="1" applyFont="1" applyNumberFormat="1">
      <alignment horizontal="right" readingOrder="0" vertical="center"/>
    </xf>
    <xf borderId="38" fillId="3" fontId="46" numFmtId="1" xfId="0" applyAlignment="1" applyBorder="1" applyFont="1" applyNumberFormat="1">
      <alignment horizontal="left" readingOrder="0" vertical="center"/>
    </xf>
    <xf borderId="38" fillId="3" fontId="46" numFmtId="164" xfId="0" applyAlignment="1" applyBorder="1" applyFont="1" applyNumberFormat="1">
      <alignment horizontal="left" readingOrder="0" vertical="center"/>
    </xf>
    <xf borderId="39" fillId="3" fontId="46" numFmtId="1" xfId="0" applyAlignment="1" applyBorder="1" applyFont="1" applyNumberFormat="1">
      <alignment horizontal="left" readingOrder="0" vertical="center"/>
    </xf>
    <xf borderId="40" fillId="0" fontId="49" numFmtId="0" xfId="0" applyAlignment="1" applyBorder="1" applyFont="1">
      <alignment horizontal="left" readingOrder="0" vertical="center"/>
    </xf>
    <xf borderId="40" fillId="0" fontId="9" numFmtId="0" xfId="0" applyAlignment="1" applyBorder="1" applyFont="1">
      <alignment vertical="center"/>
    </xf>
    <xf borderId="40" fillId="0" fontId="9" numFmtId="0" xfId="0" applyAlignment="1" applyBorder="1" applyFont="1">
      <alignment readingOrder="0" vertical="center"/>
    </xf>
    <xf borderId="40" fillId="0" fontId="46" numFmtId="1" xfId="0" applyAlignment="1" applyBorder="1" applyFont="1" applyNumberFormat="1">
      <alignment horizontal="right" readingOrder="0" vertical="center"/>
    </xf>
    <xf borderId="41" fillId="0" fontId="46" numFmtId="164" xfId="0" applyAlignment="1" applyBorder="1" applyFont="1" applyNumberFormat="1">
      <alignment horizontal="left" readingOrder="0" vertical="center"/>
    </xf>
    <xf borderId="40" fillId="0" fontId="50" numFmtId="1" xfId="0" applyAlignment="1" applyBorder="1" applyFont="1" applyNumberFormat="1">
      <alignment horizontal="right" readingOrder="0" vertical="center"/>
    </xf>
    <xf borderId="40" fillId="0" fontId="50" numFmtId="164" xfId="0" applyAlignment="1" applyBorder="1" applyFont="1" applyNumberFormat="1">
      <alignment horizontal="left" readingOrder="0" vertical="center"/>
    </xf>
    <xf borderId="42" fillId="5" fontId="35" numFmtId="1" xfId="0" applyAlignment="1" applyBorder="1" applyFont="1" applyNumberFormat="1">
      <alignment horizontal="right" vertical="center"/>
    </xf>
    <xf borderId="40" fillId="5" fontId="35" numFmtId="1" xfId="0" applyAlignment="1" applyBorder="1" applyFont="1" applyNumberFormat="1">
      <alignment horizontal="left" vertical="center"/>
    </xf>
    <xf borderId="0" fillId="0" fontId="49" numFmtId="0" xfId="0" applyAlignment="1" applyFont="1">
      <alignment horizontal="left" readingOrder="0" vertical="center"/>
    </xf>
    <xf borderId="0" fillId="0" fontId="9" numFmtId="164" xfId="0" applyAlignment="1" applyFont="1" applyNumberFormat="1">
      <alignment vertical="center"/>
    </xf>
    <xf borderId="0" fillId="0" fontId="34" numFmtId="2" xfId="0" applyAlignment="1" applyFont="1" applyNumberFormat="1">
      <alignment horizontal="left" readingOrder="0" vertical="center"/>
    </xf>
    <xf borderId="0" fillId="0" fontId="34" numFmtId="164" xfId="0" applyAlignment="1" applyFont="1" applyNumberFormat="1">
      <alignment horizontal="left" readingOrder="0" vertical="center"/>
    </xf>
    <xf borderId="0" fillId="0" fontId="9" numFmtId="10" xfId="0" applyAlignment="1" applyFont="1" applyNumberFormat="1">
      <alignment horizontal="right" readingOrder="0" vertical="center"/>
    </xf>
    <xf borderId="0" fillId="0" fontId="9" numFmtId="164" xfId="0" applyAlignment="1" applyFont="1" applyNumberFormat="1">
      <alignment horizontal="left" readingOrder="0" vertical="center"/>
    </xf>
    <xf borderId="0" fillId="0" fontId="34" numFmtId="164" xfId="0" applyAlignment="1" applyFont="1" applyNumberFormat="1">
      <alignment horizontal="right" vertical="center"/>
    </xf>
    <xf borderId="0" fillId="0" fontId="34" numFmtId="1" xfId="0" applyAlignment="1" applyFont="1" applyNumberFormat="1">
      <alignment horizontal="left" vertical="center"/>
    </xf>
    <xf borderId="32" fillId="7" fontId="51" numFmtId="0" xfId="0" applyAlignment="1" applyBorder="1" applyFill="1" applyFont="1">
      <alignment horizontal="center" readingOrder="0" shrinkToFit="0" vertical="center" wrapText="1"/>
    </xf>
    <xf borderId="43" fillId="0" fontId="3" numFmtId="0" xfId="0" applyBorder="1" applyFont="1"/>
    <xf borderId="32" fillId="0" fontId="0" numFmtId="0" xfId="0" applyAlignment="1" applyBorder="1" applyFont="1">
      <alignment readingOrder="0" shrinkToFit="0" vertical="center" wrapText="1"/>
    </xf>
    <xf borderId="0" fillId="0" fontId="9" numFmtId="164" xfId="0" applyAlignment="1" applyFont="1" applyNumberFormat="1">
      <alignment horizontal="right" readingOrder="0" vertical="center"/>
    </xf>
    <xf borderId="17" fillId="0" fontId="34" numFmtId="2" xfId="0" applyAlignment="1" applyBorder="1" applyFont="1" applyNumberFormat="1">
      <alignment horizontal="left" readingOrder="0" vertical="center"/>
    </xf>
    <xf borderId="0" fillId="0" fontId="3" numFmtId="0" xfId="0" applyAlignment="1" applyFont="1">
      <alignment vertical="center"/>
    </xf>
    <xf borderId="0" fillId="8" fontId="52" numFmtId="169" xfId="0" applyAlignment="1" applyFill="1" applyFont="1" applyNumberFormat="1">
      <alignment horizontal="center" vertical="center"/>
    </xf>
    <xf borderId="17" fillId="0" fontId="1" numFmtId="2" xfId="0" applyAlignment="1" applyBorder="1" applyFont="1" applyNumberFormat="1">
      <alignment horizontal="right" vertical="center"/>
    </xf>
    <xf borderId="17" fillId="0" fontId="1" numFmtId="0" xfId="0" applyAlignment="1" applyBorder="1" applyFont="1">
      <alignment readingOrder="0"/>
    </xf>
    <xf borderId="17" fillId="0" fontId="9" numFmtId="164" xfId="0" applyAlignment="1" applyBorder="1" applyFont="1" applyNumberFormat="1">
      <alignment horizontal="right" readingOrder="0" vertical="center"/>
    </xf>
    <xf borderId="17" fillId="0" fontId="9" numFmtId="164" xfId="0" applyAlignment="1" applyBorder="1" applyFont="1" applyNumberFormat="1">
      <alignment horizontal="left" readingOrder="0" vertical="center"/>
    </xf>
    <xf borderId="17" fillId="0" fontId="1" numFmtId="2" xfId="0" applyAlignment="1" applyBorder="1" applyFont="1" applyNumberFormat="1">
      <alignment horizontal="right" readingOrder="0" vertical="center"/>
    </xf>
    <xf borderId="17" fillId="0" fontId="34" numFmtId="1" xfId="0" applyAlignment="1" applyBorder="1" applyFont="1" applyNumberFormat="1">
      <alignment horizontal="left" vertical="center"/>
    </xf>
    <xf borderId="0" fillId="9" fontId="52" numFmtId="169" xfId="0" applyAlignment="1" applyFill="1" applyFont="1" applyNumberFormat="1">
      <alignment horizontal="center" vertical="center"/>
    </xf>
    <xf borderId="18" fillId="0" fontId="34" numFmtId="2" xfId="0" applyAlignment="1" applyBorder="1" applyFont="1" applyNumberFormat="1">
      <alignment horizontal="left" readingOrder="0" vertical="center"/>
    </xf>
    <xf borderId="18" fillId="0" fontId="1" numFmtId="2" xfId="0" applyAlignment="1" applyBorder="1" applyFont="1" applyNumberFormat="1">
      <alignment horizontal="right" vertical="center"/>
    </xf>
    <xf borderId="18" fillId="0" fontId="1" numFmtId="0" xfId="0" applyAlignment="1" applyBorder="1" applyFont="1">
      <alignment readingOrder="0"/>
    </xf>
    <xf borderId="18" fillId="0" fontId="9" numFmtId="164" xfId="0" applyAlignment="1" applyBorder="1" applyFont="1" applyNumberFormat="1">
      <alignment horizontal="right" readingOrder="0" vertical="center"/>
    </xf>
    <xf borderId="18" fillId="0" fontId="9" numFmtId="164" xfId="0" applyAlignment="1" applyBorder="1" applyFont="1" applyNumberFormat="1">
      <alignment horizontal="left" readingOrder="0" vertical="center"/>
    </xf>
    <xf borderId="0" fillId="10" fontId="52" numFmtId="169" xfId="0" applyAlignment="1" applyFill="1" applyFont="1" applyNumberFormat="1">
      <alignment horizontal="center" vertical="center"/>
    </xf>
    <xf borderId="18" fillId="0" fontId="1" numFmtId="0" xfId="0" applyAlignment="1" applyBorder="1" applyFont="1">
      <alignment readingOrder="0" vertical="center"/>
    </xf>
    <xf borderId="0" fillId="11" fontId="52" numFmtId="169" xfId="0" applyAlignment="1" applyFill="1" applyFont="1" applyNumberFormat="1">
      <alignment horizontal="center" vertical="center"/>
    </xf>
    <xf borderId="0" fillId="12" fontId="52" numFmtId="169" xfId="0" applyAlignment="1" applyFill="1" applyFont="1" applyNumberFormat="1">
      <alignment horizontal="center" vertical="center"/>
    </xf>
    <xf borderId="44" fillId="0" fontId="9" numFmtId="164" xfId="0" applyAlignment="1" applyBorder="1" applyFont="1" applyNumberFormat="1">
      <alignment horizontal="right" readingOrder="0" vertical="center"/>
    </xf>
    <xf borderId="44" fillId="0" fontId="9" numFmtId="164" xfId="0" applyAlignment="1" applyBorder="1" applyFont="1" applyNumberFormat="1">
      <alignment horizontal="left" readingOrder="0" vertical="center"/>
    </xf>
    <xf borderId="0" fillId="13" fontId="52" numFmtId="169" xfId="0" applyAlignment="1" applyFill="1" applyFont="1" applyNumberFormat="1">
      <alignment horizontal="center" vertical="center"/>
    </xf>
    <xf borderId="0" fillId="0" fontId="53" numFmtId="0" xfId="0" applyAlignment="1" applyFont="1">
      <alignment readingOrder="0" vertical="center"/>
    </xf>
    <xf borderId="0" fillId="0" fontId="1" numFmtId="0" xfId="0" applyAlignment="1" applyFont="1">
      <alignment horizontal="center" vertical="center"/>
    </xf>
    <xf borderId="17" fillId="0" fontId="53" numFmtId="0" xfId="0" applyAlignment="1" applyBorder="1" applyFont="1">
      <alignment readingOrder="0" vertical="center"/>
    </xf>
    <xf borderId="17" fillId="0" fontId="3" numFmtId="0" xfId="0" applyAlignment="1" applyBorder="1" applyFont="1">
      <alignment vertical="center"/>
    </xf>
    <xf borderId="17" fillId="0" fontId="1" numFmtId="0" xfId="0" applyAlignment="1" applyBorder="1" applyFont="1">
      <alignment horizontal="center" vertical="center"/>
    </xf>
    <xf borderId="17" fillId="0" fontId="1" numFmtId="0" xfId="0" applyAlignment="1" applyBorder="1" applyFont="1">
      <alignment horizontal="right" readingOrder="0" vertical="center"/>
    </xf>
    <xf borderId="17" fillId="0" fontId="1" numFmtId="0" xfId="0" applyAlignment="1" applyBorder="1" applyFont="1">
      <alignment horizontal="right" vertical="center"/>
    </xf>
    <xf borderId="18" fillId="0" fontId="53" numFmtId="0" xfId="0" applyAlignment="1" applyBorder="1" applyFont="1">
      <alignment readingOrder="0" vertical="center"/>
    </xf>
    <xf borderId="18" fillId="0" fontId="3" numFmtId="0" xfId="0" applyAlignment="1" applyBorder="1" applyFont="1">
      <alignment vertical="center"/>
    </xf>
    <xf borderId="18" fillId="0" fontId="1" numFmtId="0" xfId="0" applyAlignment="1" applyBorder="1" applyFont="1">
      <alignment horizontal="center" vertical="center"/>
    </xf>
    <xf borderId="18" fillId="0" fontId="1" numFmtId="0" xfId="0" applyAlignment="1" applyBorder="1" applyFont="1">
      <alignment horizontal="right" readingOrder="0" vertical="center"/>
    </xf>
    <xf borderId="18" fillId="0" fontId="1" numFmtId="1" xfId="0" applyAlignment="1" applyBorder="1" applyFont="1" applyNumberFormat="1">
      <alignment horizontal="right" vertical="center"/>
    </xf>
    <xf borderId="45" fillId="5" fontId="52" numFmtId="0" xfId="0" applyAlignment="1" applyBorder="1" applyFont="1">
      <alignment readingOrder="0" vertical="center"/>
    </xf>
    <xf borderId="46" fillId="5" fontId="52" numFmtId="0" xfId="0" applyAlignment="1" applyBorder="1" applyFont="1">
      <alignment readingOrder="0" vertical="center"/>
    </xf>
    <xf borderId="45" fillId="5" fontId="52" numFmtId="0" xfId="0" applyAlignment="1" applyBorder="1" applyFont="1">
      <alignment horizontal="center" readingOrder="0" vertical="center"/>
    </xf>
    <xf borderId="46" fillId="5" fontId="3" numFmtId="0" xfId="0" applyBorder="1" applyFont="1"/>
    <xf borderId="47" fillId="5" fontId="52" numFmtId="0" xfId="0" applyAlignment="1" applyBorder="1" applyFont="1">
      <alignment horizontal="center" readingOrder="0" vertical="center"/>
    </xf>
    <xf borderId="46" fillId="5" fontId="52" numFmtId="0" xfId="0" applyAlignment="1" applyBorder="1" applyFont="1">
      <alignment horizontal="center" readingOrder="0" vertical="center"/>
    </xf>
    <xf borderId="47" fillId="5" fontId="3" numFmtId="0" xfId="0" applyBorder="1" applyFont="1"/>
    <xf borderId="17" fillId="3" fontId="9" numFmtId="0" xfId="0" applyAlignment="1" applyBorder="1" applyFont="1">
      <alignment readingOrder="0"/>
    </xf>
    <xf borderId="17" fillId="3" fontId="9" numFmtId="0" xfId="0" applyBorder="1" applyFont="1"/>
    <xf borderId="17" fillId="3" fontId="1" numFmtId="166" xfId="0" applyAlignment="1" applyBorder="1" applyFont="1" applyNumberFormat="1">
      <alignment horizontal="right" vertical="center"/>
    </xf>
    <xf borderId="17" fillId="3" fontId="1" numFmtId="166" xfId="0" applyAlignment="1" applyBorder="1" applyFont="1" applyNumberFormat="1">
      <alignment readingOrder="0" vertical="center"/>
    </xf>
    <xf borderId="17" fillId="3" fontId="3" numFmtId="164" xfId="0" applyAlignment="1" applyBorder="1" applyFont="1" applyNumberFormat="1">
      <alignment vertical="center"/>
    </xf>
    <xf borderId="17" fillId="3" fontId="3" numFmtId="166" xfId="0" applyAlignment="1" applyBorder="1" applyFont="1" applyNumberFormat="1">
      <alignment vertical="center"/>
    </xf>
    <xf borderId="18" fillId="4" fontId="9" numFmtId="0" xfId="0" applyAlignment="1" applyBorder="1" applyFont="1">
      <alignment readingOrder="0"/>
    </xf>
    <xf borderId="18" fillId="4" fontId="9" numFmtId="0" xfId="0" applyBorder="1" applyFont="1"/>
    <xf borderId="18" fillId="4" fontId="34" numFmtId="166" xfId="0" applyAlignment="1" applyBorder="1" applyFont="1" applyNumberFormat="1">
      <alignment horizontal="right" vertical="center"/>
    </xf>
    <xf borderId="18" fillId="4" fontId="1" numFmtId="166" xfId="0" applyAlignment="1" applyBorder="1" applyFont="1" applyNumberFormat="1">
      <alignment readingOrder="0" vertical="center"/>
    </xf>
    <xf borderId="18" fillId="4" fontId="9" numFmtId="164" xfId="0" applyAlignment="1" applyBorder="1" applyFont="1" applyNumberFormat="1">
      <alignment vertical="center"/>
    </xf>
    <xf borderId="18" fillId="4" fontId="9" numFmtId="166" xfId="0" applyAlignment="1" applyBorder="1" applyFont="1" applyNumberFormat="1">
      <alignment vertical="center"/>
    </xf>
    <xf borderId="18" fillId="4" fontId="3" numFmtId="166" xfId="0" applyAlignment="1" applyBorder="1" applyFont="1" applyNumberFormat="1">
      <alignment vertical="center"/>
    </xf>
    <xf borderId="18" fillId="3" fontId="9" numFmtId="0" xfId="0" applyAlignment="1" applyBorder="1" applyFont="1">
      <alignment readingOrder="0"/>
    </xf>
    <xf borderId="18" fillId="3" fontId="9" numFmtId="0" xfId="0" applyBorder="1" applyFont="1"/>
    <xf borderId="18" fillId="3" fontId="34" numFmtId="166" xfId="0" applyAlignment="1" applyBorder="1" applyFont="1" applyNumberFormat="1">
      <alignment horizontal="right" vertical="center"/>
    </xf>
    <xf borderId="18" fillId="3" fontId="1" numFmtId="166" xfId="0" applyAlignment="1" applyBorder="1" applyFont="1" applyNumberFormat="1">
      <alignment readingOrder="0" vertical="center"/>
    </xf>
    <xf borderId="18" fillId="3" fontId="9" numFmtId="164" xfId="0" applyAlignment="1" applyBorder="1" applyFont="1" applyNumberFormat="1">
      <alignment vertical="center"/>
    </xf>
    <xf borderId="18" fillId="3" fontId="9" numFmtId="166" xfId="0" applyAlignment="1" applyBorder="1" applyFont="1" applyNumberFormat="1">
      <alignment vertical="center"/>
    </xf>
    <xf borderId="18" fillId="3" fontId="3" numFmtId="166" xfId="0" applyAlignment="1" applyBorder="1" applyFont="1" applyNumberFormat="1">
      <alignment vertical="center"/>
    </xf>
    <xf borderId="44" fillId="3" fontId="9" numFmtId="0" xfId="0" applyAlignment="1" applyBorder="1" applyFont="1">
      <alignment readingOrder="0"/>
    </xf>
    <xf borderId="44" fillId="3" fontId="9" numFmtId="0" xfId="0" applyBorder="1" applyFont="1"/>
    <xf borderId="44" fillId="4" fontId="9" numFmtId="0" xfId="0" applyAlignment="1" applyBorder="1" applyFont="1">
      <alignment readingOrder="0"/>
    </xf>
    <xf borderId="44" fillId="4" fontId="9" numFmtId="0" xfId="0" applyBorder="1" applyFont="1"/>
    <xf borderId="44" fillId="4" fontId="34" numFmtId="166" xfId="0" applyAlignment="1" applyBorder="1" applyFont="1" applyNumberFormat="1">
      <alignment horizontal="right" vertical="center"/>
    </xf>
    <xf borderId="44" fillId="4" fontId="1" numFmtId="166" xfId="0" applyAlignment="1" applyBorder="1" applyFont="1" applyNumberFormat="1">
      <alignment readingOrder="0" vertical="center"/>
    </xf>
    <xf borderId="44" fillId="4" fontId="9" numFmtId="164" xfId="0" applyAlignment="1" applyBorder="1" applyFont="1" applyNumberFormat="1">
      <alignment vertical="center"/>
    </xf>
    <xf borderId="44" fillId="4" fontId="9" numFmtId="166" xfId="0" applyAlignment="1" applyBorder="1" applyFont="1" applyNumberFormat="1">
      <alignment horizontal="right" vertical="center"/>
    </xf>
    <xf borderId="44" fillId="4" fontId="3" numFmtId="166" xfId="0" applyAlignment="1" applyBorder="1" applyFont="1" applyNumberFormat="1">
      <alignment vertical="center"/>
    </xf>
    <xf borderId="46" fillId="5" fontId="52" numFmtId="166" xfId="0" applyAlignment="1" applyBorder="1" applyFont="1" applyNumberFormat="1">
      <alignment horizontal="center" readingOrder="0" vertical="center"/>
    </xf>
    <xf borderId="46" fillId="5" fontId="52" numFmtId="164" xfId="0" applyAlignment="1" applyBorder="1" applyFont="1" applyNumberFormat="1">
      <alignment horizontal="center" readingOrder="0" vertical="center"/>
    </xf>
    <xf borderId="17" fillId="3" fontId="3" numFmtId="0" xfId="0" applyAlignment="1" applyBorder="1" applyFont="1">
      <alignment readingOrder="0" vertical="center"/>
    </xf>
    <xf borderId="17" fillId="3" fontId="3" numFmtId="0" xfId="0" applyAlignment="1" applyBorder="1" applyFont="1">
      <alignment vertical="center"/>
    </xf>
    <xf borderId="18" fillId="4" fontId="3" numFmtId="0" xfId="0" applyAlignment="1" applyBorder="1" applyFont="1">
      <alignment readingOrder="0" vertical="center"/>
    </xf>
    <xf borderId="18" fillId="4" fontId="3" numFmtId="0" xfId="0" applyAlignment="1" applyBorder="1" applyFont="1">
      <alignment vertical="center"/>
    </xf>
    <xf borderId="18" fillId="4" fontId="1" numFmtId="166" xfId="0" applyAlignment="1" applyBorder="1" applyFont="1" applyNumberFormat="1">
      <alignment horizontal="right" vertical="center"/>
    </xf>
    <xf borderId="18" fillId="4" fontId="3" numFmtId="164" xfId="0" applyAlignment="1" applyBorder="1" applyFont="1" applyNumberFormat="1">
      <alignment vertical="center"/>
    </xf>
    <xf borderId="18" fillId="3" fontId="3" numFmtId="0" xfId="0" applyAlignment="1" applyBorder="1" applyFont="1">
      <alignment readingOrder="0" vertical="center"/>
    </xf>
    <xf borderId="18" fillId="3" fontId="3" numFmtId="0" xfId="0" applyAlignment="1" applyBorder="1" applyFont="1">
      <alignment vertical="center"/>
    </xf>
    <xf borderId="18" fillId="3" fontId="1" numFmtId="166" xfId="0" applyAlignment="1" applyBorder="1" applyFont="1" applyNumberFormat="1">
      <alignment horizontal="right" vertical="center"/>
    </xf>
    <xf borderId="18" fillId="3" fontId="3" numFmtId="164" xfId="0" applyAlignment="1" applyBorder="1" applyFont="1" applyNumberFormat="1">
      <alignment vertical="center"/>
    </xf>
    <xf borderId="44" fillId="3" fontId="3" numFmtId="0" xfId="0" applyAlignment="1" applyBorder="1" applyFont="1">
      <alignment readingOrder="0" vertical="center"/>
    </xf>
    <xf borderId="44" fillId="3" fontId="3" numFmtId="0" xfId="0" applyAlignment="1" applyBorder="1" applyFont="1">
      <alignment vertical="center"/>
    </xf>
    <xf borderId="44" fillId="3" fontId="1" numFmtId="166" xfId="0" applyAlignment="1" applyBorder="1" applyFont="1" applyNumberFormat="1">
      <alignment horizontal="right" vertical="center"/>
    </xf>
    <xf borderId="44" fillId="3" fontId="1" numFmtId="166" xfId="0" applyAlignment="1" applyBorder="1" applyFont="1" applyNumberFormat="1">
      <alignment readingOrder="0" vertical="center"/>
    </xf>
    <xf borderId="44" fillId="3" fontId="3" numFmtId="164" xfId="0" applyAlignment="1" applyBorder="1" applyFont="1" applyNumberFormat="1">
      <alignment vertical="center"/>
    </xf>
    <xf borderId="44" fillId="3" fontId="3" numFmtId="166" xfId="0" applyAlignment="1" applyBorder="1" applyFont="1" applyNumberFormat="1">
      <alignment vertical="center"/>
    </xf>
    <xf borderId="18" fillId="3" fontId="3" numFmtId="164" xfId="0" applyAlignment="1" applyBorder="1" applyFont="1" applyNumberFormat="1">
      <alignment horizontal="right" vertical="center"/>
    </xf>
    <xf borderId="18" fillId="3" fontId="3" numFmtId="166" xfId="0" applyAlignment="1" applyBorder="1" applyFont="1" applyNumberFormat="1">
      <alignment horizontal="right" vertical="center"/>
    </xf>
    <xf borderId="17" fillId="4" fontId="3" numFmtId="0" xfId="0" applyAlignment="1" applyBorder="1" applyFont="1">
      <alignment readingOrder="0" vertical="center"/>
    </xf>
    <xf borderId="17" fillId="4" fontId="3" numFmtId="0" xfId="0" applyAlignment="1" applyBorder="1" applyFont="1">
      <alignment vertical="center"/>
    </xf>
    <xf borderId="17" fillId="4" fontId="1" numFmtId="166" xfId="0" applyAlignment="1" applyBorder="1" applyFont="1" applyNumberFormat="1">
      <alignment horizontal="right" vertical="center"/>
    </xf>
    <xf borderId="17" fillId="4" fontId="1" numFmtId="166" xfId="0" applyAlignment="1" applyBorder="1" applyFont="1" applyNumberFormat="1">
      <alignment readingOrder="0" vertical="center"/>
    </xf>
    <xf borderId="17" fillId="4" fontId="3" numFmtId="164" xfId="0" applyAlignment="1" applyBorder="1" applyFont="1" applyNumberFormat="1">
      <alignment vertical="center"/>
    </xf>
    <xf borderId="17" fillId="4" fontId="3" numFmtId="166" xfId="0" applyAlignment="1" applyBorder="1" applyFont="1" applyNumberFormat="1">
      <alignment vertical="center"/>
    </xf>
    <xf borderId="44" fillId="14" fontId="54" numFmtId="0" xfId="0" applyAlignment="1" applyBorder="1" applyFill="1" applyFont="1">
      <alignment horizontal="left" readingOrder="0" shrinkToFit="0" vertical="center" wrapText="1"/>
    </xf>
    <xf borderId="44" fillId="3" fontId="3" numFmtId="0" xfId="0" applyBorder="1" applyFont="1"/>
    <xf borderId="46" fillId="5" fontId="52" numFmtId="0" xfId="0" applyAlignment="1" applyBorder="1" applyFont="1">
      <alignment vertical="center"/>
    </xf>
    <xf borderId="48" fillId="14" fontId="54" numFmtId="0" xfId="0" applyAlignment="1" applyBorder="1" applyFont="1">
      <alignment horizontal="left" readingOrder="0" shrinkToFit="0" vertical="center" wrapText="1"/>
    </xf>
    <xf borderId="48" fillId="3" fontId="3" numFmtId="0" xfId="0" applyBorder="1" applyFont="1"/>
    <xf borderId="18" fillId="3" fontId="1" numFmtId="166" xfId="0" applyAlignment="1" applyBorder="1" applyFont="1" applyNumberFormat="1">
      <alignment horizontal="right" readingOrder="0" vertical="center"/>
    </xf>
    <xf borderId="0" fillId="14" fontId="54" numFmtId="0" xfId="0" applyAlignment="1" applyFont="1">
      <alignment horizontal="left" readingOrder="0" shrinkToFit="0" vertical="center" wrapText="1"/>
    </xf>
    <xf borderId="49" fillId="5" fontId="35" numFmtId="0" xfId="0" applyAlignment="1" applyBorder="1" applyFont="1">
      <alignment readingOrder="0" shrinkToFit="0" wrapText="0"/>
    </xf>
    <xf borderId="46" fillId="5" fontId="35" numFmtId="0" xfId="0" applyBorder="1" applyFont="1"/>
    <xf borderId="47" fillId="5" fontId="52" numFmtId="0" xfId="0" applyAlignment="1" applyBorder="1" applyFont="1">
      <alignment vertical="center"/>
    </xf>
    <xf borderId="17" fillId="3" fontId="1" numFmtId="4" xfId="0" applyAlignment="1" applyBorder="1" applyFont="1" applyNumberFormat="1">
      <alignment horizontal="center" vertical="center"/>
    </xf>
    <xf borderId="18" fillId="4" fontId="1" numFmtId="4" xfId="0" applyAlignment="1" applyBorder="1" applyFont="1" applyNumberFormat="1">
      <alignment horizontal="center" vertical="center"/>
    </xf>
    <xf borderId="0" fillId="5" fontId="32" numFmtId="0" xfId="0" applyAlignment="1" applyFont="1">
      <alignment horizontal="center" readingOrder="0" shrinkToFit="0" vertical="center" wrapText="1"/>
    </xf>
    <xf borderId="0" fillId="0" fontId="55" numFmtId="0" xfId="0" applyAlignment="1" applyFont="1">
      <alignment horizontal="left" readingOrder="0" vertical="center"/>
    </xf>
    <xf borderId="0" fillId="0" fontId="40" numFmtId="165" xfId="0" applyAlignment="1" applyFont="1" applyNumberFormat="1">
      <alignment horizontal="right" readingOrder="0" vertical="center"/>
    </xf>
    <xf borderId="17" fillId="0" fontId="55" numFmtId="0" xfId="0" applyAlignment="1" applyBorder="1" applyFont="1">
      <alignment horizontal="left" readingOrder="0" vertical="bottom"/>
    </xf>
    <xf borderId="17" fillId="0" fontId="55" numFmtId="0" xfId="0" applyAlignment="1" applyBorder="1" applyFont="1">
      <alignment horizontal="left" readingOrder="0" vertical="center"/>
    </xf>
    <xf borderId="17" fillId="0" fontId="40" numFmtId="165" xfId="0" applyAlignment="1" applyBorder="1" applyFont="1" applyNumberFormat="1">
      <alignment horizontal="right" readingOrder="0" vertical="center"/>
    </xf>
    <xf borderId="18" fillId="0" fontId="40" numFmtId="165" xfId="0" applyAlignment="1" applyBorder="1" applyFont="1" applyNumberFormat="1">
      <alignment horizontal="right" readingOrder="0" vertical="center"/>
    </xf>
    <xf borderId="17" fillId="0" fontId="40" numFmtId="4" xfId="0" applyAlignment="1" applyBorder="1" applyFont="1" applyNumberFormat="1">
      <alignment horizontal="right" readingOrder="0" vertical="bottom"/>
    </xf>
    <xf borderId="18" fillId="0" fontId="40" numFmtId="4" xfId="0" applyAlignment="1" applyBorder="1" applyFont="1" applyNumberFormat="1">
      <alignment horizontal="right" readingOrder="0" vertical="bottom"/>
    </xf>
    <xf borderId="18" fillId="0" fontId="55" numFmtId="0" xfId="0" applyAlignment="1" applyBorder="1" applyFont="1">
      <alignment horizontal="left" readingOrder="0" vertical="bottom"/>
    </xf>
    <xf borderId="18" fillId="0" fontId="55" numFmtId="0" xfId="0" applyAlignment="1" applyBorder="1" applyFont="1">
      <alignment horizontal="left" readingOrder="0" vertical="center"/>
    </xf>
    <xf borderId="0" fillId="15" fontId="42" numFmtId="0" xfId="0" applyAlignment="1" applyFill="1" applyFont="1">
      <alignment horizontal="left" readingOrder="0" vertical="center"/>
    </xf>
    <xf borderId="0" fillId="15" fontId="56" numFmtId="0" xfId="0" applyFont="1"/>
    <xf borderId="0" fillId="15" fontId="42" numFmtId="165" xfId="0" applyAlignment="1" applyFont="1" applyNumberFormat="1">
      <alignment horizontal="right" readingOrder="0" vertical="center"/>
    </xf>
    <xf borderId="0" fillId="15" fontId="3" numFmtId="0" xfId="0" applyFont="1"/>
    <xf borderId="0" fillId="7" fontId="51" numFmtId="0" xfId="0" applyAlignment="1" applyFont="1">
      <alignment horizontal="left" readingOrder="0" vertical="center"/>
    </xf>
    <xf borderId="0" fillId="7" fontId="57" numFmtId="0" xfId="0" applyFont="1"/>
    <xf borderId="0" fillId="7" fontId="51" numFmtId="165" xfId="0" applyAlignment="1" applyFont="1" applyNumberFormat="1">
      <alignment horizontal="right" readingOrder="0" vertical="center"/>
    </xf>
    <xf borderId="0" fillId="7" fontId="3" numFmtId="0" xfId="0" applyFont="1"/>
    <xf borderId="0" fillId="0" fontId="9" numFmtId="0" xfId="0" applyAlignment="1" applyFont="1">
      <alignment horizontal="right" vertical="center"/>
    </xf>
    <xf borderId="0" fillId="0" fontId="51" numFmtId="0" xfId="0" applyAlignment="1" applyFont="1">
      <alignment horizontal="center" readingOrder="0" vertical="bottom"/>
    </xf>
    <xf borderId="50" fillId="5" fontId="51" numFmtId="0" xfId="0" applyAlignment="1" applyBorder="1" applyFont="1">
      <alignment horizontal="center" readingOrder="0" vertical="bottom"/>
    </xf>
    <xf borderId="40" fillId="0" fontId="3" numFmtId="0" xfId="0" applyBorder="1" applyFont="1"/>
    <xf borderId="51" fillId="0" fontId="3" numFmtId="0" xfId="0" applyBorder="1" applyFont="1"/>
    <xf borderId="20" fillId="0" fontId="45" numFmtId="0" xfId="0" applyAlignment="1" applyBorder="1" applyFont="1">
      <alignment readingOrder="0" vertical="center"/>
    </xf>
    <xf borderId="20" fillId="0" fontId="45" numFmtId="0" xfId="0" applyAlignment="1" applyBorder="1" applyFont="1">
      <alignment horizontal="right" readingOrder="0" vertical="center"/>
    </xf>
    <xf borderId="20" fillId="0" fontId="45" numFmtId="0" xfId="0" applyAlignment="1" applyBorder="1" applyFont="1">
      <alignment horizontal="left" readingOrder="0" vertical="center"/>
    </xf>
    <xf borderId="19" fillId="5" fontId="58" numFmtId="0" xfId="0" applyAlignment="1" applyBorder="1" applyFont="1">
      <alignment horizontal="center" readingOrder="0" vertical="top"/>
    </xf>
    <xf borderId="17" fillId="3" fontId="9" numFmtId="0" xfId="0" applyAlignment="1" applyBorder="1" applyFont="1">
      <alignment readingOrder="0" vertical="center"/>
    </xf>
    <xf borderId="17" fillId="3" fontId="59" numFmtId="165" xfId="0" applyAlignment="1" applyBorder="1" applyFont="1" applyNumberFormat="1">
      <alignment horizontal="right" readingOrder="0" vertical="center"/>
    </xf>
    <xf borderId="17" fillId="3" fontId="60" numFmtId="0" xfId="0" applyAlignment="1" applyBorder="1" applyFont="1">
      <alignment horizontal="center" readingOrder="0" vertical="center"/>
    </xf>
    <xf borderId="17" fillId="3" fontId="60" numFmtId="0" xfId="0" applyAlignment="1" applyBorder="1" applyFont="1">
      <alignment horizontal="left" readingOrder="0" vertical="center"/>
    </xf>
    <xf borderId="52" fillId="3" fontId="34" numFmtId="164" xfId="0" applyAlignment="1" applyBorder="1" applyFont="1" applyNumberFormat="1">
      <alignment horizontal="right" readingOrder="0" vertical="center"/>
    </xf>
    <xf borderId="17" fillId="3" fontId="40" numFmtId="0" xfId="0" applyAlignment="1" applyBorder="1" applyFont="1">
      <alignment horizontal="left" readingOrder="0" vertical="center"/>
    </xf>
    <xf borderId="53" fillId="3" fontId="34" numFmtId="165" xfId="0" applyAlignment="1" applyBorder="1" applyFont="1" applyNumberFormat="1">
      <alignment horizontal="center" vertical="center"/>
    </xf>
    <xf borderId="17" fillId="4" fontId="9" numFmtId="0" xfId="0" applyAlignment="1" applyBorder="1" applyFont="1">
      <alignment readingOrder="0" vertical="center"/>
    </xf>
    <xf borderId="17" fillId="4" fontId="3" numFmtId="0" xfId="0" applyBorder="1" applyFont="1"/>
    <xf borderId="17" fillId="4" fontId="59" numFmtId="165" xfId="0" applyAlignment="1" applyBorder="1" applyFont="1" applyNumberFormat="1">
      <alignment horizontal="right" readingOrder="0" vertical="center"/>
    </xf>
    <xf borderId="17" fillId="4" fontId="60" numFmtId="0" xfId="0" applyAlignment="1" applyBorder="1" applyFont="1">
      <alignment horizontal="center" readingOrder="0" vertical="center"/>
    </xf>
    <xf borderId="17" fillId="4" fontId="60" numFmtId="0" xfId="0" applyAlignment="1" applyBorder="1" applyFont="1">
      <alignment horizontal="left" readingOrder="0" vertical="center"/>
    </xf>
    <xf borderId="52" fillId="4" fontId="34" numFmtId="164" xfId="0" applyAlignment="1" applyBorder="1" applyFont="1" applyNumberFormat="1">
      <alignment horizontal="right" readingOrder="0" vertical="center"/>
    </xf>
    <xf borderId="17" fillId="4" fontId="40" numFmtId="0" xfId="0" applyAlignment="1" applyBorder="1" applyFont="1">
      <alignment horizontal="left" readingOrder="0" vertical="center"/>
    </xf>
    <xf borderId="53" fillId="4" fontId="34" numFmtId="165" xfId="0" applyAlignment="1" applyBorder="1" applyFont="1" applyNumberFormat="1">
      <alignment horizontal="center" vertical="center"/>
    </xf>
    <xf borderId="0" fillId="0" fontId="9" numFmtId="0" xfId="0" applyAlignment="1" applyFont="1">
      <alignment readingOrder="0" vertical="center"/>
    </xf>
    <xf borderId="0" fillId="0" fontId="59" numFmtId="165" xfId="0" applyAlignment="1" applyFont="1" applyNumberFormat="1">
      <alignment horizontal="right" readingOrder="0" vertical="center"/>
    </xf>
    <xf borderId="0" fillId="3" fontId="60" numFmtId="0" xfId="0" applyAlignment="1" applyFont="1">
      <alignment horizontal="center" readingOrder="0" vertical="center"/>
    </xf>
    <xf borderId="0" fillId="0" fontId="59" numFmtId="0" xfId="0" applyAlignment="1" applyFont="1">
      <alignment readingOrder="0" shrinkToFit="0" vertical="center" wrapText="0"/>
    </xf>
    <xf borderId="0" fillId="0" fontId="59" numFmtId="165" xfId="0" applyAlignment="1" applyFont="1" applyNumberFormat="1">
      <alignment horizontal="left" readingOrder="0" vertical="center"/>
    </xf>
    <xf borderId="45" fillId="5" fontId="61" numFmtId="1" xfId="0" applyAlignment="1" applyBorder="1" applyFont="1" applyNumberFormat="1">
      <alignment horizontal="right" readingOrder="0" vertical="center"/>
    </xf>
    <xf borderId="46" fillId="5" fontId="61" numFmtId="0" xfId="0" applyAlignment="1" applyBorder="1" applyFont="1">
      <alignment readingOrder="0" vertical="center"/>
    </xf>
    <xf borderId="47" fillId="5" fontId="61" numFmtId="165" xfId="0" applyAlignment="1" applyBorder="1" applyFont="1" applyNumberFormat="1">
      <alignment horizontal="center" readingOrder="0" vertical="center"/>
    </xf>
    <xf borderId="17" fillId="0" fontId="9" numFmtId="4" xfId="0" applyAlignment="1" applyBorder="1" applyFont="1" applyNumberFormat="1">
      <alignment readingOrder="0" vertical="bottom"/>
    </xf>
    <xf borderId="17" fillId="3" fontId="34" numFmtId="4" xfId="0" applyAlignment="1" applyBorder="1" applyFont="1" applyNumberFormat="1">
      <alignment horizontal="left" readingOrder="0" vertical="bottom"/>
    </xf>
    <xf borderId="18" fillId="0" fontId="9" numFmtId="4" xfId="0" applyAlignment="1" applyBorder="1" applyFont="1" applyNumberFormat="1">
      <alignment readingOrder="0" vertical="bottom"/>
    </xf>
    <xf borderId="18" fillId="0" fontId="62" numFmtId="0" xfId="0" applyAlignment="1" applyBorder="1" applyFont="1">
      <alignment horizontal="left" readingOrder="0" vertical="center"/>
    </xf>
    <xf borderId="18" fillId="0" fontId="62" numFmtId="170" xfId="0" applyAlignment="1" applyBorder="1" applyFont="1" applyNumberFormat="1">
      <alignment horizontal="left" readingOrder="0" vertical="center"/>
    </xf>
    <xf borderId="18" fillId="3" fontId="34" numFmtId="167" xfId="0" applyAlignment="1" applyBorder="1" applyFont="1" applyNumberFormat="1">
      <alignment horizontal="left" readingOrder="0" vertical="bottom"/>
    </xf>
    <xf borderId="18" fillId="3" fontId="34" numFmtId="0" xfId="0" applyAlignment="1" applyBorder="1" applyFont="1">
      <alignment horizontal="left" readingOrder="0" vertical="bottom"/>
    </xf>
    <xf borderId="0" fillId="0" fontId="1" numFmtId="0" xfId="0" applyAlignment="1" applyFont="1">
      <alignment vertical="center"/>
    </xf>
    <xf borderId="18" fillId="3" fontId="34" numFmtId="1" xfId="0" applyAlignment="1" applyBorder="1" applyFont="1" applyNumberFormat="1">
      <alignment horizontal="left" readingOrder="0" vertical="bottom"/>
    </xf>
    <xf borderId="17" fillId="0" fontId="1" numFmtId="0" xfId="0" applyAlignment="1" applyBorder="1" applyFont="1">
      <alignment horizontal="left"/>
    </xf>
    <xf borderId="17" fillId="0" fontId="1" numFmtId="0" xfId="0" applyBorder="1" applyFont="1"/>
    <xf borderId="54" fillId="0" fontId="9" numFmtId="4" xfId="0" applyAlignment="1" applyBorder="1" applyFont="1" applyNumberFormat="1">
      <alignment readingOrder="0" vertical="bottom"/>
    </xf>
    <xf borderId="54" fillId="3" fontId="34" numFmtId="166" xfId="0" applyAlignment="1" applyBorder="1" applyFont="1" applyNumberFormat="1">
      <alignment horizontal="left" readingOrder="0" vertical="bottom"/>
    </xf>
    <xf borderId="54" fillId="0" fontId="3" numFmtId="0" xfId="0" applyBorder="1" applyFont="1"/>
    <xf borderId="0" fillId="0" fontId="9" numFmtId="4" xfId="0" applyAlignment="1" applyFont="1" applyNumberFormat="1">
      <alignment vertical="bottom"/>
    </xf>
    <xf borderId="0" fillId="0" fontId="9" numFmtId="4" xfId="0" applyAlignment="1" applyFont="1" applyNumberFormat="1">
      <alignment vertical="top"/>
    </xf>
    <xf borderId="0" fillId="0" fontId="9" numFmtId="49" xfId="0" applyAlignment="1" applyFont="1" applyNumberFormat="1">
      <alignment horizontal="right" vertical="bottom"/>
    </xf>
    <xf borderId="0" fillId="0" fontId="9" numFmtId="4" xfId="0" applyFont="1" applyNumberFormat="1"/>
    <xf borderId="0" fillId="0" fontId="9" numFmtId="4" xfId="0" applyAlignment="1" applyFont="1" applyNumberFormat="1">
      <alignment horizontal="right"/>
    </xf>
    <xf borderId="0" fillId="0" fontId="9" numFmtId="4" xfId="0" applyAlignment="1" applyFont="1" applyNumberFormat="1">
      <alignment horizontal="center"/>
    </xf>
    <xf borderId="0" fillId="2" fontId="9" numFmtId="4" xfId="0" applyFont="1" applyNumberFormat="1"/>
    <xf borderId="0" fillId="2" fontId="9" numFmtId="4" xfId="0" applyAlignment="1" applyFont="1" applyNumberFormat="1">
      <alignment horizontal="right"/>
    </xf>
    <xf borderId="0" fillId="3" fontId="9" numFmtId="4" xfId="0" applyFont="1" applyNumberFormat="1"/>
    <xf borderId="0" fillId="3" fontId="9" numFmtId="4" xfId="0" applyAlignment="1" applyFont="1" applyNumberFormat="1">
      <alignment horizontal="right"/>
    </xf>
    <xf borderId="0" fillId="4" fontId="9" numFmtId="4" xfId="0" applyFont="1" applyNumberFormat="1"/>
    <xf borderId="0" fillId="4" fontId="9" numFmtId="4" xfId="0" applyAlignment="1" applyFont="1" applyNumberFormat="1">
      <alignment horizontal="right"/>
    </xf>
    <xf borderId="0" fillId="0" fontId="9" numFmtId="4" xfId="0" applyAlignment="1" applyFont="1" applyNumberFormat="1">
      <alignment horizontal="right" vertical="top"/>
    </xf>
    <xf borderId="0" fillId="0" fontId="9" numFmtId="4" xfId="0" applyAlignment="1" applyFont="1" applyNumberFormat="1">
      <alignment horizontal="right" vertical="bottom"/>
    </xf>
    <xf borderId="0" fillId="0" fontId="55" numFmtId="0" xfId="0" applyAlignment="1" applyFont="1">
      <alignment horizontal="left" readingOrder="0" vertical="bottom"/>
    </xf>
    <xf borderId="0" fillId="0" fontId="40" numFmtId="4" xfId="0" applyAlignment="1" applyFont="1" applyNumberFormat="1">
      <alignment horizontal="right" readingOrder="0" vertical="bottom"/>
    </xf>
    <xf borderId="0" fillId="0" fontId="45" numFmtId="0" xfId="0" applyAlignment="1" applyFont="1">
      <alignment readingOrder="0" vertical="center"/>
    </xf>
    <xf borderId="0" fillId="0" fontId="45" numFmtId="0" xfId="0" applyAlignment="1" applyFont="1">
      <alignment horizontal="left" readingOrder="0" vertical="center"/>
    </xf>
    <xf borderId="0" fillId="0" fontId="45" numFmtId="0" xfId="0" applyAlignment="1" applyFont="1">
      <alignment horizontal="right" readingOrder="0" vertical="center"/>
    </xf>
    <xf borderId="0" fillId="0" fontId="45" numFmtId="0" xfId="0" applyAlignment="1" applyFont="1">
      <alignment horizontal="center" readingOrder="0" vertical="center"/>
    </xf>
    <xf borderId="15" fillId="5" fontId="58" numFmtId="0" xfId="0" applyAlignment="1" applyBorder="1" applyFont="1">
      <alignment horizontal="center" readingOrder="0" vertical="top"/>
    </xf>
    <xf borderId="16" fillId="0" fontId="3" numFmtId="0" xfId="0" applyBorder="1" applyFont="1"/>
    <xf borderId="55" fillId="16" fontId="58" numFmtId="0" xfId="0" applyAlignment="1" applyBorder="1" applyFill="1" applyFont="1">
      <alignment horizontal="center" readingOrder="0" vertical="top"/>
    </xf>
    <xf borderId="56" fillId="0" fontId="3" numFmtId="0" xfId="0" applyBorder="1" applyFont="1"/>
    <xf borderId="57" fillId="17" fontId="58" numFmtId="0" xfId="0" applyAlignment="1" applyBorder="1" applyFill="1" applyFont="1">
      <alignment horizontal="center" readingOrder="0" vertical="top"/>
    </xf>
    <xf borderId="58" fillId="0" fontId="3" numFmtId="0" xfId="0" applyBorder="1" applyFont="1"/>
    <xf borderId="59" fillId="0" fontId="3" numFmtId="0" xfId="0" applyBorder="1" applyFont="1"/>
    <xf borderId="60" fillId="3" fontId="34" numFmtId="2" xfId="0" applyAlignment="1" applyBorder="1" applyFont="1" applyNumberFormat="1">
      <alignment horizontal="right" readingOrder="0" vertical="center"/>
    </xf>
    <xf borderId="61" fillId="3" fontId="40" numFmtId="0" xfId="0" applyAlignment="1" applyBorder="1" applyFont="1">
      <alignment horizontal="left" readingOrder="0" vertical="center"/>
    </xf>
    <xf borderId="62" fillId="3" fontId="40" numFmtId="0" xfId="0" applyAlignment="1" applyBorder="1" applyFont="1">
      <alignment horizontal="right" readingOrder="0" vertical="center"/>
    </xf>
    <xf borderId="63" fillId="3" fontId="34" numFmtId="165" xfId="0" applyAlignment="1" applyBorder="1" applyFont="1" applyNumberFormat="1">
      <alignment horizontal="center" vertical="center"/>
    </xf>
    <xf borderId="64" fillId="4" fontId="34" numFmtId="2" xfId="0" applyAlignment="1" applyBorder="1" applyFont="1" applyNumberFormat="1">
      <alignment horizontal="right" readingOrder="0" vertical="center"/>
    </xf>
    <xf borderId="62" fillId="4" fontId="40" numFmtId="0" xfId="0" applyAlignment="1" applyBorder="1" applyFont="1">
      <alignment horizontal="right" readingOrder="0" vertical="center"/>
    </xf>
    <xf borderId="63" fillId="4" fontId="34" numFmtId="165" xfId="0" applyAlignment="1" applyBorder="1" applyFont="1" applyNumberFormat="1">
      <alignment horizontal="center" vertical="center"/>
    </xf>
    <xf borderId="64" fillId="3" fontId="34" numFmtId="2" xfId="0" applyAlignment="1" applyBorder="1" applyFont="1" applyNumberFormat="1">
      <alignment horizontal="right" readingOrder="0" vertical="center"/>
    </xf>
    <xf borderId="62" fillId="4" fontId="34" numFmtId="164" xfId="0" applyAlignment="1" applyBorder="1" applyFont="1" applyNumberFormat="1">
      <alignment horizontal="right" readingOrder="0" vertical="center"/>
    </xf>
    <xf borderId="18" fillId="3" fontId="40" numFmtId="0" xfId="0" applyAlignment="1" applyBorder="1" applyFont="1">
      <alignment horizontal="left" readingOrder="0" vertical="center"/>
    </xf>
    <xf borderId="62" fillId="3" fontId="34" numFmtId="164" xfId="0" applyAlignment="1" applyBorder="1" applyFont="1" applyNumberFormat="1">
      <alignment horizontal="right" readingOrder="0" vertical="center"/>
    </xf>
    <xf borderId="65" fillId="4" fontId="34" numFmtId="2" xfId="0" applyAlignment="1" applyBorder="1" applyFont="1" applyNumberFormat="1">
      <alignment horizontal="right" readingOrder="0" vertical="center"/>
    </xf>
    <xf borderId="0" fillId="4" fontId="40" numFmtId="0" xfId="0" applyAlignment="1" applyFont="1">
      <alignment horizontal="left" readingOrder="0" vertical="center"/>
    </xf>
    <xf borderId="66" fillId="4" fontId="40" numFmtId="2" xfId="0" applyAlignment="1" applyBorder="1" applyFont="1" applyNumberFormat="1">
      <alignment horizontal="right" readingOrder="0" vertical="center"/>
    </xf>
    <xf borderId="67" fillId="4" fontId="34" numFmtId="165" xfId="0" applyAlignment="1" applyBorder="1" applyFont="1" applyNumberFormat="1">
      <alignment horizontal="center" vertical="center"/>
    </xf>
    <xf borderId="55" fillId="16" fontId="61" numFmtId="2" xfId="0" applyAlignment="1" applyBorder="1" applyFont="1" applyNumberFormat="1">
      <alignment horizontal="right" readingOrder="0" vertical="center"/>
    </xf>
    <xf borderId="68" fillId="16" fontId="61" numFmtId="0" xfId="0" applyAlignment="1" applyBorder="1" applyFont="1">
      <alignment readingOrder="0" vertical="center"/>
    </xf>
    <xf borderId="57" fillId="17" fontId="61" numFmtId="0" xfId="0" applyAlignment="1" applyBorder="1" applyFont="1">
      <alignment horizontal="right" readingOrder="0" vertical="center"/>
    </xf>
    <xf borderId="58" fillId="17" fontId="61" numFmtId="0" xfId="0" applyAlignment="1" applyBorder="1" applyFont="1">
      <alignment readingOrder="0" vertical="center"/>
    </xf>
    <xf borderId="59" fillId="17" fontId="61" numFmtId="0" xfId="0" applyAlignment="1" applyBorder="1" applyFont="1">
      <alignment horizontal="center" readingOrder="0" vertical="center"/>
    </xf>
    <xf borderId="0" fillId="0" fontId="59" numFmtId="165" xfId="0" applyAlignment="1" applyFont="1" applyNumberFormat="1">
      <alignment horizontal="right" readingOrder="0" vertical="center"/>
    </xf>
    <xf borderId="0" fillId="3" fontId="40" numFmtId="0" xfId="0" applyAlignment="1" applyFont="1">
      <alignment horizontal="left" readingOrder="0" vertical="center"/>
    </xf>
    <xf borderId="0" fillId="0" fontId="34" numFmtId="165" xfId="0" applyAlignment="1" applyFont="1" applyNumberFormat="1">
      <alignment horizontal="center" vertical="center"/>
    </xf>
    <xf borderId="17" fillId="3" fontId="8" numFmtId="0" xfId="0" applyAlignment="1" applyBorder="1" applyFont="1">
      <alignment horizontal="left" readingOrder="0" vertical="center"/>
    </xf>
    <xf borderId="17" fillId="3" fontId="59" numFmtId="165" xfId="0" applyAlignment="1" applyBorder="1" applyFont="1" applyNumberFormat="1">
      <alignment horizontal="right" readingOrder="0" vertical="center"/>
    </xf>
    <xf borderId="17" fillId="3" fontId="59" numFmtId="165" xfId="0" applyAlignment="1" applyBorder="1" applyFont="1" applyNumberFormat="1">
      <alignment horizontal="center" readingOrder="0" vertical="center"/>
    </xf>
    <xf borderId="17" fillId="3" fontId="59" numFmtId="0" xfId="0" applyAlignment="1" applyBorder="1" applyFont="1">
      <alignment horizontal="left" vertical="center"/>
    </xf>
    <xf borderId="17" fillId="3" fontId="63" numFmtId="165" xfId="0" applyAlignment="1" applyBorder="1" applyFont="1" applyNumberFormat="1">
      <alignment horizontal="center" readingOrder="0" vertical="center"/>
    </xf>
    <xf borderId="52" fillId="3" fontId="34" numFmtId="164" xfId="0" applyAlignment="1" applyBorder="1" applyFont="1" applyNumberFormat="1">
      <alignment horizontal="right" vertical="center"/>
    </xf>
    <xf borderId="17" fillId="3" fontId="34" numFmtId="0" xfId="0" applyAlignment="1" applyBorder="1" applyFont="1">
      <alignment horizontal="left" vertical="center"/>
    </xf>
    <xf borderId="18" fillId="4" fontId="8" numFmtId="0" xfId="0" applyAlignment="1" applyBorder="1" applyFont="1">
      <alignment horizontal="left" readingOrder="0" vertical="center"/>
    </xf>
    <xf borderId="18" fillId="4" fontId="59" numFmtId="165" xfId="0" applyAlignment="1" applyBorder="1" applyFont="1" applyNumberFormat="1">
      <alignment horizontal="right" readingOrder="0" vertical="center"/>
    </xf>
    <xf borderId="18" fillId="4" fontId="59" numFmtId="165" xfId="0" applyAlignment="1" applyBorder="1" applyFont="1" applyNumberFormat="1">
      <alignment horizontal="center" readingOrder="0" vertical="center"/>
    </xf>
    <xf borderId="18" fillId="4" fontId="59" numFmtId="0" xfId="0" applyAlignment="1" applyBorder="1" applyFont="1">
      <alignment horizontal="left" vertical="center"/>
    </xf>
    <xf borderId="18" fillId="4" fontId="64" numFmtId="165" xfId="0" applyAlignment="1" applyBorder="1" applyFont="1" applyNumberFormat="1">
      <alignment horizontal="center" readingOrder="0" vertical="center"/>
    </xf>
    <xf borderId="69" fillId="4" fontId="34" numFmtId="164" xfId="0" applyAlignment="1" applyBorder="1" applyFont="1" applyNumberFormat="1">
      <alignment horizontal="right" vertical="center"/>
    </xf>
    <xf borderId="44" fillId="4" fontId="34" numFmtId="0" xfId="0" applyAlignment="1" applyBorder="1" applyFont="1">
      <alignment horizontal="left" vertical="center"/>
    </xf>
    <xf borderId="70" fillId="4" fontId="34" numFmtId="165" xfId="0" applyAlignment="1" applyBorder="1" applyFont="1" applyNumberFormat="1">
      <alignment horizontal="center" vertical="center"/>
    </xf>
    <xf borderId="17" fillId="3" fontId="8" numFmtId="0" xfId="0" applyAlignment="1" applyBorder="1" applyFont="1">
      <alignment readingOrder="0" vertical="center"/>
    </xf>
    <xf borderId="18" fillId="4" fontId="8" numFmtId="0" xfId="0" applyAlignment="1" applyBorder="1" applyFont="1">
      <alignment readingOrder="0" vertical="center"/>
    </xf>
    <xf borderId="52" fillId="4" fontId="34" numFmtId="164" xfId="0" applyAlignment="1" applyBorder="1" applyFont="1" applyNumberFormat="1">
      <alignment horizontal="right" vertical="center"/>
    </xf>
    <xf borderId="18" fillId="4" fontId="34" numFmtId="0" xfId="0" applyAlignment="1" applyBorder="1" applyFont="1">
      <alignment horizontal="left" vertical="center"/>
    </xf>
    <xf borderId="71" fillId="4" fontId="34" numFmtId="165" xfId="0" applyAlignment="1" applyBorder="1" applyFont="1" applyNumberFormat="1">
      <alignment horizontal="center" vertical="center"/>
    </xf>
    <xf borderId="18" fillId="3" fontId="8" numFmtId="0" xfId="0" applyAlignment="1" applyBorder="1" applyFont="1">
      <alignment readingOrder="0" vertical="center"/>
    </xf>
    <xf borderId="18" fillId="3" fontId="59" numFmtId="165" xfId="0" applyAlignment="1" applyBorder="1" applyFont="1" applyNumberFormat="1">
      <alignment horizontal="right" readingOrder="0" vertical="center"/>
    </xf>
    <xf borderId="18" fillId="3" fontId="59" numFmtId="165" xfId="0" applyAlignment="1" applyBorder="1" applyFont="1" applyNumberFormat="1">
      <alignment horizontal="center" readingOrder="0" vertical="center"/>
    </xf>
    <xf borderId="18" fillId="3" fontId="59" numFmtId="0" xfId="0" applyAlignment="1" applyBorder="1" applyFont="1">
      <alignment horizontal="left" vertical="center"/>
    </xf>
    <xf borderId="18" fillId="3" fontId="65" numFmtId="165" xfId="0" applyAlignment="1" applyBorder="1" applyFont="1" applyNumberFormat="1">
      <alignment horizontal="center" readingOrder="0" vertical="center"/>
    </xf>
    <xf borderId="18" fillId="3" fontId="34" numFmtId="0" xfId="0" applyAlignment="1" applyBorder="1" applyFont="1">
      <alignment horizontal="left" vertical="center"/>
    </xf>
    <xf borderId="71" fillId="3" fontId="34" numFmtId="165" xfId="0" applyAlignment="1" applyBorder="1" applyFont="1" applyNumberFormat="1">
      <alignment horizontal="center" vertical="center"/>
    </xf>
    <xf borderId="17" fillId="4" fontId="8" numFmtId="0" xfId="0" applyAlignment="1" applyBorder="1" applyFont="1">
      <alignment horizontal="left" readingOrder="0" vertical="center"/>
    </xf>
    <xf borderId="17" fillId="4" fontId="59" numFmtId="165" xfId="0" applyAlignment="1" applyBorder="1" applyFont="1" applyNumberFormat="1">
      <alignment horizontal="right" readingOrder="0" vertical="center"/>
    </xf>
    <xf borderId="17" fillId="4" fontId="59" numFmtId="165" xfId="0" applyAlignment="1" applyBorder="1" applyFont="1" applyNumberFormat="1">
      <alignment horizontal="center" readingOrder="0" vertical="center"/>
    </xf>
    <xf borderId="17" fillId="4" fontId="59" numFmtId="0" xfId="0" applyAlignment="1" applyBorder="1" applyFont="1">
      <alignment horizontal="left" vertical="center"/>
    </xf>
    <xf borderId="17" fillId="4" fontId="66" numFmtId="165" xfId="0" applyAlignment="1" applyBorder="1" applyFont="1" applyNumberFormat="1">
      <alignment horizontal="center" readingOrder="0" vertical="center"/>
    </xf>
    <xf borderId="17" fillId="4" fontId="34" numFmtId="0" xfId="0" applyAlignment="1" applyBorder="1" applyFont="1">
      <alignment horizontal="left" vertical="center"/>
    </xf>
    <xf borderId="18" fillId="3" fontId="8" numFmtId="0" xfId="0" applyAlignment="1" applyBorder="1" applyFont="1">
      <alignment horizontal="left" readingOrder="0" vertical="center"/>
    </xf>
    <xf borderId="0" fillId="0" fontId="9" numFmtId="0" xfId="0" applyAlignment="1" applyFont="1">
      <alignment readingOrder="0" vertical="center"/>
    </xf>
    <xf borderId="0" fillId="0" fontId="9" numFmtId="0" xfId="0" applyAlignment="1" applyFont="1">
      <alignment horizontal="right" readingOrder="0" vertical="center"/>
    </xf>
    <xf borderId="0" fillId="0" fontId="61" numFmtId="170" xfId="0" applyAlignment="1" applyFont="1" applyNumberFormat="1">
      <alignment horizontal="center" vertical="center"/>
    </xf>
    <xf borderId="50" fillId="5" fontId="61" numFmtId="170" xfId="0" applyAlignment="1" applyBorder="1" applyFont="1" applyNumberFormat="1">
      <alignment horizontal="center" vertical="center"/>
    </xf>
    <xf borderId="0" fillId="0" fontId="58" numFmtId="0" xfId="0" applyAlignment="1" applyFont="1">
      <alignment horizontal="center" readingOrder="0" vertical="center"/>
    </xf>
    <xf borderId="15" fillId="3" fontId="34" numFmtId="164" xfId="0" applyAlignment="1" applyBorder="1" applyFont="1" applyNumberFormat="1">
      <alignment horizontal="right" vertical="center"/>
    </xf>
    <xf borderId="44" fillId="3" fontId="34" numFmtId="0" xfId="0" applyAlignment="1" applyBorder="1" applyFont="1">
      <alignment horizontal="left" vertical="center"/>
    </xf>
    <xf borderId="70" fillId="3" fontId="34" numFmtId="165" xfId="0" applyAlignment="1" applyBorder="1" applyFont="1" applyNumberFormat="1">
      <alignment horizontal="center" vertical="center"/>
    </xf>
    <xf borderId="17" fillId="4" fontId="8" numFmtId="0" xfId="0" applyAlignment="1" applyBorder="1" applyFont="1">
      <alignment readingOrder="0" vertical="center"/>
    </xf>
    <xf borderId="15" fillId="4" fontId="34" numFmtId="164" xfId="0" applyAlignment="1" applyBorder="1" applyFont="1" applyNumberFormat="1">
      <alignment horizontal="right" vertical="center"/>
    </xf>
    <xf borderId="72" fillId="3" fontId="34" numFmtId="164" xfId="0" applyAlignment="1" applyBorder="1" applyFont="1" applyNumberFormat="1">
      <alignment horizontal="right" vertical="center"/>
    </xf>
    <xf borderId="15" fillId="5" fontId="61" numFmtId="170" xfId="0" applyAlignment="1" applyBorder="1" applyFont="1" applyNumberFormat="1">
      <alignment horizontal="center" vertical="center"/>
    </xf>
    <xf borderId="45" fillId="5" fontId="51" numFmtId="0" xfId="0" applyAlignment="1" applyBorder="1" applyFont="1">
      <alignment horizontal="center" readingOrder="0" vertical="center"/>
    </xf>
    <xf borderId="46" fillId="0" fontId="3" numFmtId="0" xfId="0" applyBorder="1" applyFont="1"/>
    <xf borderId="47" fillId="0" fontId="3" numFmtId="0" xfId="0" applyBorder="1" applyFont="1"/>
    <xf borderId="15" fillId="0" fontId="34" numFmtId="0" xfId="0" applyAlignment="1" applyBorder="1" applyFont="1">
      <alignment horizontal="left" readingOrder="0" vertical="bottom"/>
    </xf>
    <xf borderId="0" fillId="0" fontId="9" numFmtId="0" xfId="0" applyAlignment="1" applyFont="1">
      <alignment horizontal="left" readingOrder="0" vertical="bottom"/>
    </xf>
    <xf borderId="0" fillId="0" fontId="58" numFmtId="0" xfId="0" applyAlignment="1" applyFont="1">
      <alignment horizontal="left" readingOrder="0" vertical="bottom"/>
    </xf>
    <xf borderId="16" fillId="0" fontId="58" numFmtId="0" xfId="0" applyAlignment="1" applyBorder="1" applyFont="1">
      <alignment horizontal="left" readingOrder="0" vertical="bottom"/>
    </xf>
    <xf borderId="52" fillId="0" fontId="9" numFmtId="0" xfId="0" applyAlignment="1" applyBorder="1" applyFont="1">
      <alignment horizontal="left" readingOrder="0" shrinkToFit="0" vertical="center" wrapText="1"/>
    </xf>
    <xf borderId="53" fillId="0" fontId="3" numFmtId="0" xfId="0" applyBorder="1" applyFont="1"/>
    <xf borderId="15" fillId="4" fontId="34" numFmtId="0" xfId="0" applyAlignment="1" applyBorder="1" applyFont="1">
      <alignment horizontal="left" readingOrder="0" vertical="bottom"/>
    </xf>
    <xf borderId="0" fillId="4" fontId="9" numFmtId="0" xfId="0" applyAlignment="1" applyFont="1">
      <alignment horizontal="left" readingOrder="0" vertical="bottom"/>
    </xf>
    <xf borderId="0" fillId="4" fontId="58" numFmtId="0" xfId="0" applyAlignment="1" applyFont="1">
      <alignment horizontal="left" readingOrder="0" vertical="bottom"/>
    </xf>
    <xf borderId="16" fillId="4" fontId="58" numFmtId="0" xfId="0" applyAlignment="1" applyBorder="1" applyFont="1">
      <alignment horizontal="left" readingOrder="0" vertical="bottom"/>
    </xf>
    <xf borderId="52" fillId="4" fontId="9" numFmtId="0" xfId="0" applyAlignment="1" applyBorder="1" applyFont="1">
      <alignment horizontal="left" readingOrder="0" shrinkToFit="0" vertical="center" wrapText="1"/>
    </xf>
    <xf borderId="19" fillId="4" fontId="9" numFmtId="0" xfId="0" applyAlignment="1" applyBorder="1" applyFont="1">
      <alignment horizontal="left" readingOrder="0" shrinkToFit="0" vertical="center" wrapText="1"/>
    </xf>
    <xf borderId="17" fillId="0" fontId="40" numFmtId="0" xfId="0" applyAlignment="1" applyBorder="1" applyFont="1">
      <alignment horizontal="center" readingOrder="0" vertical="center"/>
    </xf>
    <xf borderId="18" fillId="0" fontId="34" numFmtId="1" xfId="0" applyAlignment="1" applyBorder="1" applyFont="1" applyNumberFormat="1">
      <alignment horizontal="center" readingOrder="0" vertical="center"/>
    </xf>
    <xf borderId="15" fillId="0" fontId="46" numFmtId="0" xfId="0" applyAlignment="1" applyBorder="1" applyFont="1">
      <alignment horizontal="center" readingOrder="0" textRotation="90" vertical="center"/>
    </xf>
    <xf borderId="38" fillId="4" fontId="46" numFmtId="2" xfId="0" applyAlignment="1" applyBorder="1" applyFont="1" applyNumberFormat="1">
      <alignment horizontal="right" readingOrder="0" vertical="center"/>
    </xf>
    <xf borderId="18" fillId="4" fontId="48" numFmtId="0" xfId="0" applyAlignment="1" applyBorder="1" applyFont="1">
      <alignment horizontal="left" vertical="center"/>
    </xf>
    <xf borderId="73" fillId="4" fontId="47" numFmtId="0" xfId="0" applyAlignment="1" applyBorder="1" applyFont="1">
      <alignment horizontal="center" readingOrder="0" vertical="center"/>
    </xf>
    <xf borderId="74" fillId="4" fontId="48" numFmtId="0" xfId="0" applyAlignment="1" applyBorder="1" applyFont="1">
      <alignment horizontal="left" readingOrder="0" vertical="center"/>
    </xf>
    <xf borderId="74" fillId="4" fontId="3" numFmtId="0" xfId="0" applyBorder="1" applyFont="1"/>
    <xf borderId="75" fillId="4" fontId="46" numFmtId="2" xfId="0" applyAlignment="1" applyBorder="1" applyFont="1" applyNumberFormat="1">
      <alignment horizontal="right" vertical="center"/>
    </xf>
    <xf borderId="75" fillId="4" fontId="46" numFmtId="1" xfId="0" applyAlignment="1" applyBorder="1" applyFont="1" applyNumberFormat="1">
      <alignment horizontal="left" readingOrder="0" vertical="center"/>
    </xf>
    <xf borderId="76" fillId="4" fontId="46" numFmtId="1" xfId="0" applyAlignment="1" applyBorder="1" applyFont="1" applyNumberFormat="1">
      <alignment horizontal="right"/>
    </xf>
    <xf borderId="75" fillId="4" fontId="46" numFmtId="164" xfId="0" applyAlignment="1" applyBorder="1" applyFont="1" applyNumberFormat="1">
      <alignment horizontal="left" readingOrder="0" vertical="center"/>
    </xf>
    <xf borderId="77" fillId="4" fontId="46" numFmtId="1" xfId="0" applyAlignment="1" applyBorder="1" applyFont="1" applyNumberFormat="1">
      <alignment horizontal="left" readingOrder="0" vertical="center"/>
    </xf>
    <xf borderId="38" fillId="3" fontId="67" numFmtId="1" xfId="0" applyAlignment="1" applyBorder="1" applyFont="1" applyNumberFormat="1">
      <alignment horizontal="left"/>
    </xf>
    <xf borderId="37" fillId="3" fontId="46" numFmtId="164" xfId="0" applyAlignment="1" applyBorder="1" applyFont="1" applyNumberFormat="1">
      <alignment horizontal="left" readingOrder="0" vertical="center"/>
    </xf>
    <xf borderId="37" fillId="3" fontId="46" numFmtId="1" xfId="0" applyAlignment="1" applyBorder="1" applyFont="1" applyNumberFormat="1">
      <alignment horizontal="right" readingOrder="0" vertical="center"/>
    </xf>
    <xf borderId="17" fillId="4" fontId="48" numFmtId="0" xfId="0" applyAlignment="1" applyBorder="1" applyFont="1">
      <alignment horizontal="left" readingOrder="0" vertical="center"/>
    </xf>
    <xf borderId="38" fillId="4" fontId="67" numFmtId="1" xfId="0" applyAlignment="1" applyBorder="1" applyFont="1" applyNumberFormat="1">
      <alignment horizontal="left"/>
    </xf>
    <xf borderId="37" fillId="4" fontId="46" numFmtId="164" xfId="0" applyAlignment="1" applyBorder="1" applyFont="1" applyNumberFormat="1">
      <alignment horizontal="left" readingOrder="0" vertical="center"/>
    </xf>
    <xf borderId="37" fillId="4" fontId="46" numFmtId="1" xfId="0" applyAlignment="1" applyBorder="1" applyFont="1" applyNumberFormat="1">
      <alignment horizontal="right" readingOrder="0" vertical="center"/>
    </xf>
    <xf borderId="38" fillId="4" fontId="46" numFmtId="164" xfId="0" applyAlignment="1" applyBorder="1" applyFont="1" applyNumberFormat="1">
      <alignment horizontal="right" readingOrder="0" vertical="center"/>
    </xf>
    <xf borderId="78" fillId="3" fontId="47" numFmtId="0" xfId="0" applyAlignment="1" applyBorder="1" applyFont="1">
      <alignment horizontal="center" readingOrder="0" vertical="center"/>
    </xf>
    <xf borderId="79" fillId="3" fontId="48" numFmtId="0" xfId="0" applyAlignment="1" applyBorder="1" applyFont="1">
      <alignment horizontal="left" readingOrder="0" vertical="center"/>
    </xf>
    <xf borderId="79" fillId="3" fontId="3" numFmtId="0" xfId="0" applyBorder="1" applyFont="1"/>
    <xf borderId="80" fillId="3" fontId="3" numFmtId="0" xfId="0" applyBorder="1" applyFont="1"/>
    <xf borderId="81" fillId="3" fontId="46" numFmtId="2" xfId="0" applyAlignment="1" applyBorder="1" applyFont="1" applyNumberFormat="1">
      <alignment horizontal="right" readingOrder="0" vertical="center"/>
    </xf>
    <xf borderId="81" fillId="3" fontId="46" numFmtId="1" xfId="0" applyAlignment="1" applyBorder="1" applyFont="1" applyNumberFormat="1">
      <alignment horizontal="left" readingOrder="0" vertical="center"/>
    </xf>
    <xf borderId="81" fillId="3" fontId="46" numFmtId="164" xfId="0" applyAlignment="1" applyBorder="1" applyFont="1" applyNumberFormat="1">
      <alignment horizontal="right" readingOrder="0" vertical="center"/>
    </xf>
    <xf borderId="82" fillId="3" fontId="46" numFmtId="164" xfId="0" applyAlignment="1" applyBorder="1" applyFont="1" applyNumberFormat="1">
      <alignment horizontal="left" readingOrder="0" vertical="center"/>
    </xf>
    <xf borderId="82" fillId="3" fontId="46" numFmtId="1" xfId="0" applyAlignment="1" applyBorder="1" applyFont="1" applyNumberFormat="1">
      <alignment horizontal="right" readingOrder="0" vertical="center"/>
    </xf>
    <xf borderId="83" fillId="3" fontId="46" numFmtId="1" xfId="0" applyAlignment="1" applyBorder="1" applyFont="1" applyNumberFormat="1">
      <alignment horizontal="left" readingOrder="0" vertical="center"/>
    </xf>
    <xf borderId="32" fillId="0" fontId="68" numFmtId="0" xfId="0" applyAlignment="1" applyBorder="1" applyFont="1">
      <alignment horizontal="center" readingOrder="0" vertical="center"/>
    </xf>
    <xf borderId="20" fillId="5" fontId="58" numFmtId="0" xfId="0" applyAlignment="1" applyBorder="1" applyFont="1">
      <alignment horizontal="center" readingOrder="0" vertical="top"/>
    </xf>
    <xf borderId="45" fillId="5" fontId="61" numFmtId="170" xfId="0" applyAlignment="1" applyBorder="1" applyFont="1" applyNumberFormat="1">
      <alignment horizontal="center" vertical="center"/>
    </xf>
    <xf borderId="0" fillId="0" fontId="9" numFmtId="0" xfId="0" applyAlignment="1" applyFont="1">
      <alignment readingOrder="0" shrinkToFit="0" vertical="center" wrapText="1"/>
    </xf>
    <xf borderId="45" fillId="5" fontId="51" numFmtId="0" xfId="0" applyAlignment="1" applyBorder="1" applyFont="1">
      <alignment horizontal="center" readingOrder="0" vertical="bottom"/>
    </xf>
    <xf borderId="20" fillId="3" fontId="45" numFmtId="0" xfId="0" applyAlignment="1" applyBorder="1" applyFont="1">
      <alignment readingOrder="0" vertical="center"/>
    </xf>
    <xf borderId="21" fillId="3" fontId="3" numFmtId="0" xfId="0" applyBorder="1" applyFont="1"/>
    <xf borderId="20" fillId="3" fontId="45" numFmtId="0" xfId="0" applyAlignment="1" applyBorder="1" applyFont="1">
      <alignment horizontal="right" readingOrder="0" vertical="center"/>
    </xf>
    <xf borderId="20" fillId="3" fontId="45" numFmtId="0" xfId="0" applyAlignment="1" applyBorder="1" applyFont="1">
      <alignment horizontal="center" readingOrder="0" vertical="center"/>
    </xf>
    <xf borderId="20" fillId="3" fontId="45" numFmtId="0" xfId="0" applyAlignment="1" applyBorder="1" applyFont="1">
      <alignment horizontal="left" readingOrder="0" vertical="center"/>
    </xf>
    <xf borderId="19" fillId="3" fontId="45" numFmtId="0" xfId="0" applyAlignment="1" applyBorder="1" applyFont="1">
      <alignment horizontal="center" readingOrder="0" vertical="center"/>
    </xf>
    <xf borderId="20" fillId="3" fontId="3" numFmtId="0" xfId="0" applyBorder="1" applyFont="1"/>
    <xf borderId="19" fillId="5" fontId="61" numFmtId="170" xfId="0" applyAlignment="1" applyBorder="1" applyFont="1" applyNumberFormat="1">
      <alignment horizontal="center" vertical="center"/>
    </xf>
    <xf borderId="0" fillId="3" fontId="51" numFmtId="0" xfId="0" applyAlignment="1" applyFont="1">
      <alignment horizontal="center" readingOrder="0" vertical="bottom"/>
    </xf>
    <xf borderId="15" fillId="0" fontId="34" numFmtId="0" xfId="0" applyAlignment="1" applyBorder="1" applyFont="1">
      <alignment readingOrder="0" vertical="bottom"/>
    </xf>
    <xf borderId="0" fillId="0" fontId="9" numFmtId="0" xfId="0" applyAlignment="1" applyFont="1">
      <alignment horizontal="right" readingOrder="0" vertical="bottom"/>
    </xf>
    <xf borderId="0" fillId="0" fontId="9" numFmtId="0" xfId="0" applyAlignment="1" applyFont="1">
      <alignment readingOrder="0" vertical="bottom"/>
    </xf>
    <xf borderId="0" fillId="0" fontId="58" numFmtId="0" xfId="0" applyAlignment="1" applyFont="1">
      <alignment horizontal="center" readingOrder="0" vertical="bottom"/>
    </xf>
    <xf borderId="16" fillId="0" fontId="58" numFmtId="0" xfId="0" applyAlignment="1" applyBorder="1" applyFont="1">
      <alignment horizontal="center" readingOrder="0" vertical="bottom"/>
    </xf>
    <xf borderId="15" fillId="4" fontId="34" numFmtId="0" xfId="0" applyAlignment="1" applyBorder="1" applyFont="1">
      <alignment readingOrder="0" vertical="bottom"/>
    </xf>
    <xf borderId="0" fillId="4" fontId="9" numFmtId="0" xfId="0" applyAlignment="1" applyFont="1">
      <alignment horizontal="right" readingOrder="0" vertical="bottom"/>
    </xf>
    <xf borderId="0" fillId="4" fontId="9" numFmtId="0" xfId="0" applyAlignment="1" applyFont="1">
      <alignment readingOrder="0" vertical="bottom"/>
    </xf>
    <xf borderId="0" fillId="4" fontId="58" numFmtId="0" xfId="0" applyAlignment="1" applyFont="1">
      <alignment horizontal="center" readingOrder="0" vertical="bottom"/>
    </xf>
    <xf borderId="16" fillId="4" fontId="58" numFmtId="0" xfId="0" applyAlignment="1" applyBorder="1" applyFont="1">
      <alignment horizontal="center" readingOrder="0" vertical="bottom"/>
    </xf>
    <xf borderId="52" fillId="4" fontId="9" numFmtId="0" xfId="0" applyAlignment="1" applyBorder="1" applyFont="1">
      <alignment readingOrder="0" shrinkToFit="0" vertical="center" wrapText="1"/>
    </xf>
    <xf borderId="52" fillId="0" fontId="9" numFmtId="0" xfId="0" applyAlignment="1" applyBorder="1" applyFont="1">
      <alignment readingOrder="0" shrinkToFit="0" vertical="center" wrapText="1"/>
    </xf>
    <xf borderId="19" fillId="4" fontId="9" numFmtId="0" xfId="0" applyAlignment="1" applyBorder="1" applyFont="1">
      <alignment readingOrder="0" shrinkToFit="0" vertical="center" wrapText="1"/>
    </xf>
    <xf borderId="84" fillId="17" fontId="51" numFmtId="0" xfId="0" applyAlignment="1" applyBorder="1" applyFont="1">
      <alignment horizontal="center" readingOrder="0" shrinkToFit="0" vertical="center" wrapText="1"/>
    </xf>
    <xf borderId="85" fillId="0" fontId="3" numFmtId="0" xfId="0" applyBorder="1" applyFont="1"/>
    <xf borderId="86" fillId="0" fontId="3" numFmtId="0" xfId="0" applyBorder="1" applyFont="1"/>
    <xf borderId="0" fillId="0" fontId="69" numFmtId="0" xfId="0" applyAlignment="1" applyFont="1">
      <alignment horizontal="center" readingOrder="0" shrinkToFit="0" wrapText="1"/>
    </xf>
    <xf borderId="0" fillId="0" fontId="70" numFmtId="0" xfId="0" applyAlignment="1" applyFont="1">
      <alignment horizontal="left" readingOrder="0" shrinkToFit="0" vertical="center" wrapText="1"/>
    </xf>
    <xf borderId="57" fillId="0" fontId="71" numFmtId="0" xfId="0" applyAlignment="1" applyBorder="1" applyFont="1">
      <alignment horizontal="center" readingOrder="0" shrinkToFit="0" vertical="top" wrapText="1"/>
    </xf>
    <xf borderId="0" fillId="0" fontId="72" numFmtId="0" xfId="0" applyAlignment="1" applyFont="1">
      <alignment readingOrder="0" shrinkToFit="0" wrapText="1"/>
    </xf>
    <xf borderId="0" fillId="0" fontId="69" numFmtId="0" xfId="0" applyAlignment="1" applyFont="1">
      <alignment horizontal="left" readingOrder="0" shrinkToFit="0" wrapText="1"/>
    </xf>
    <xf borderId="0" fillId="0" fontId="3" numFmtId="0" xfId="0" applyAlignment="1" applyFont="1">
      <alignment horizontal="center" shrinkToFit="0" wrapText="0"/>
    </xf>
    <xf borderId="87" fillId="0" fontId="3" numFmtId="0" xfId="0" applyAlignment="1" applyBorder="1" applyFont="1">
      <alignment horizontal="center" shrinkToFit="0" wrapText="0"/>
    </xf>
    <xf borderId="88" fillId="0" fontId="3" numFmtId="0" xfId="0" applyBorder="1" applyFont="1"/>
    <xf borderId="89" fillId="0" fontId="3" numFmtId="0" xfId="0" applyBorder="1" applyFont="1"/>
    <xf borderId="90" fillId="0" fontId="3" numFmtId="0" xfId="0" applyBorder="1" applyFont="1"/>
    <xf borderId="91" fillId="0" fontId="3" numFmtId="0" xfId="0" applyBorder="1" applyFont="1"/>
    <xf borderId="92" fillId="0" fontId="3" numFmtId="0" xfId="0" applyBorder="1" applyFont="1"/>
    <xf borderId="93" fillId="0" fontId="3" numFmtId="0" xfId="0" applyBorder="1" applyFont="1"/>
    <xf borderId="94" fillId="0" fontId="3" numFmtId="0" xfId="0" applyBorder="1" applyFont="1"/>
    <xf borderId="0" fillId="18" fontId="73" numFmtId="0" xfId="0" applyAlignment="1" applyFill="1" applyFont="1">
      <alignment horizontal="center" readingOrder="0" vertical="center"/>
    </xf>
    <xf borderId="0" fillId="0" fontId="74" numFmtId="0" xfId="0" applyAlignment="1" applyFont="1">
      <alignment vertical="center"/>
    </xf>
    <xf borderId="95" fillId="7" fontId="73" numFmtId="0" xfId="0" applyAlignment="1" applyBorder="1" applyFont="1">
      <alignment horizontal="center" readingOrder="0" vertical="center"/>
    </xf>
    <xf borderId="96" fillId="0" fontId="3" numFmtId="0" xfId="0" applyBorder="1" applyFont="1"/>
    <xf borderId="97" fillId="0" fontId="3" numFmtId="0" xfId="0" applyBorder="1" applyFont="1"/>
    <xf borderId="0" fillId="0" fontId="75" numFmtId="0" xfId="0" applyAlignment="1" applyFont="1">
      <alignment horizontal="center" readingOrder="0" vertical="bottom"/>
    </xf>
    <xf borderId="0" fillId="0" fontId="76" numFmtId="0" xfId="0" applyAlignment="1" applyFont="1">
      <alignment horizontal="center" vertical="bottom"/>
    </xf>
    <xf borderId="0" fillId="0" fontId="77" numFmtId="0" xfId="0" applyAlignment="1" applyFont="1">
      <alignment horizontal="center" readingOrder="0" vertical="bottom"/>
    </xf>
    <xf borderId="0" fillId="3" fontId="78" numFmtId="0" xfId="0" applyAlignment="1" applyFont="1">
      <alignment horizontal="center" readingOrder="0" vertical="top"/>
    </xf>
    <xf borderId="0" fillId="0" fontId="76" numFmtId="0" xfId="0" applyAlignment="1" applyFont="1">
      <alignment horizontal="center" vertical="top"/>
    </xf>
    <xf borderId="0" fillId="0" fontId="77" numFmtId="0" xfId="0" applyAlignment="1" applyFont="1">
      <alignment horizontal="center" readingOrder="0" vertical="top"/>
    </xf>
    <xf borderId="0" fillId="0" fontId="75" numFmtId="0" xfId="0" applyAlignment="1" applyFont="1">
      <alignment horizontal="center" readingOrder="0" vertical="top"/>
    </xf>
    <xf borderId="0" fillId="0" fontId="79" numFmtId="0" xfId="0" applyAlignment="1" applyFont="1">
      <alignment readingOrder="0" shrinkToFit="0" vertical="top" wrapText="1"/>
    </xf>
    <xf borderId="0" fillId="0" fontId="79" numFmtId="0" xfId="0" applyAlignment="1" applyFont="1">
      <alignment vertical="top"/>
    </xf>
    <xf borderId="0" fillId="0" fontId="80" numFmtId="0" xfId="0" applyAlignment="1" applyFont="1">
      <alignment readingOrder="0" shrinkToFit="0" wrapText="1"/>
    </xf>
    <xf borderId="0" fillId="0" fontId="3" numFmtId="0" xfId="0" applyAlignment="1" applyFont="1">
      <alignment readingOrder="0" shrinkToFit="0" wrapText="1"/>
    </xf>
    <xf borderId="98" fillId="19" fontId="81" numFmtId="0" xfId="0" applyAlignment="1" applyBorder="1" applyFill="1" applyFont="1">
      <alignment horizontal="center" readingOrder="0" shrinkToFit="0" vertical="center" wrapText="1"/>
    </xf>
    <xf borderId="99" fillId="0" fontId="3" numFmtId="0" xfId="0" applyBorder="1" applyFont="1"/>
    <xf borderId="100" fillId="0" fontId="3" numFmtId="0" xfId="0" applyBorder="1" applyFont="1"/>
    <xf borderId="0" fillId="0" fontId="82" numFmtId="0" xfId="0" applyAlignment="1" applyFont="1">
      <alignment horizontal="center" readingOrder="0" shrinkToFit="0" vertical="center" wrapText="1"/>
    </xf>
    <xf borderId="0" fillId="20" fontId="82" numFmtId="0" xfId="0" applyAlignment="1" applyFill="1" applyFont="1">
      <alignment horizontal="center" readingOrder="0" shrinkToFit="0" vertical="center" wrapText="1"/>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98" fillId="0" fontId="83" numFmtId="0" xfId="0" applyAlignment="1" applyBorder="1" applyFont="1">
      <alignment horizontal="center" readingOrder="0" shrinkToFit="0" vertical="center" wrapText="1"/>
    </xf>
    <xf borderId="106" fillId="21" fontId="84" numFmtId="0" xfId="0" applyAlignment="1" applyBorder="1" applyFill="1" applyFont="1">
      <alignment horizontal="center"/>
    </xf>
    <xf borderId="106" fillId="21" fontId="3" numFmtId="0" xfId="0" applyBorder="1" applyFont="1"/>
    <xf borderId="0" fillId="0" fontId="69" numFmtId="0" xfId="0" applyAlignment="1" applyFont="1">
      <alignment horizontal="center" readingOrder="0" shrinkToFit="0" vertical="center" wrapText="1"/>
    </xf>
    <xf borderId="107" fillId="7" fontId="84" numFmtId="0" xfId="0" applyAlignment="1" applyBorder="1" applyFont="1">
      <alignment horizontal="center"/>
    </xf>
    <xf borderId="107" fillId="7" fontId="3" numFmtId="0" xfId="0" applyBorder="1" applyFont="1"/>
    <xf borderId="107" fillId="21" fontId="84" numFmtId="0" xfId="0" applyAlignment="1" applyBorder="1" applyFont="1">
      <alignment horizontal="center"/>
    </xf>
    <xf borderId="107" fillId="21" fontId="3" numFmtId="0" xfId="0" applyBorder="1" applyFont="1"/>
    <xf borderId="0" fillId="7" fontId="85" numFmtId="0" xfId="0" applyAlignment="1" applyFont="1">
      <alignment horizontal="center" readingOrder="0" shrinkToFit="0" vertical="center" wrapText="1"/>
    </xf>
    <xf borderId="0" fillId="0" fontId="2" numFmtId="0" xfId="0" applyAlignment="1" applyFont="1">
      <alignment horizontal="left" vertical="center"/>
    </xf>
    <xf borderId="84" fillId="17" fontId="81" numFmtId="0" xfId="0" applyAlignment="1" applyBorder="1" applyFont="1">
      <alignment horizontal="center" readingOrder="0" shrinkToFit="0" vertical="center" wrapText="1"/>
    </xf>
    <xf borderId="66" fillId="0" fontId="3" numFmtId="0" xfId="0" applyBorder="1" applyFont="1"/>
    <xf borderId="67" fillId="0" fontId="3" numFmtId="0" xfId="0" applyBorder="1" applyFont="1"/>
    <xf borderId="66" fillId="0" fontId="86" numFmtId="0" xfId="0" applyAlignment="1" applyBorder="1" applyFont="1">
      <alignment horizontal="center" readingOrder="0" shrinkToFit="0" vertical="center" wrapText="1"/>
    </xf>
    <xf borderId="108" fillId="0" fontId="3" numFmtId="0" xfId="0" applyBorder="1" applyFont="1"/>
    <xf borderId="109" fillId="0" fontId="3" numFmtId="0" xfId="0" applyBorder="1" applyFont="1"/>
    <xf borderId="110" fillId="0" fontId="3" numFmtId="0" xfId="0" applyBorder="1" applyFont="1"/>
    <xf borderId="66" fillId="17" fontId="52" numFmtId="0" xfId="0" applyAlignment="1" applyBorder="1" applyFont="1">
      <alignment horizontal="center" readingOrder="0" shrinkToFit="0" vertical="center" wrapText="1"/>
    </xf>
    <xf borderId="66" fillId="22" fontId="1" numFmtId="0" xfId="0" applyAlignment="1" applyBorder="1" applyFill="1" applyFont="1">
      <alignment horizontal="center" readingOrder="0"/>
    </xf>
    <xf borderId="0" fillId="22" fontId="1" numFmtId="0" xfId="0" applyFont="1"/>
    <xf borderId="111" fillId="22" fontId="1" numFmtId="0" xfId="0" applyBorder="1" applyFont="1"/>
    <xf borderId="0" fillId="22" fontId="1" numFmtId="0" xfId="0" applyAlignment="1" applyFont="1">
      <alignment horizontal="center" readingOrder="0"/>
    </xf>
    <xf borderId="67" fillId="2" fontId="3" numFmtId="0" xfId="0" applyBorder="1" applyFont="1"/>
    <xf borderId="112" fillId="3" fontId="3" numFmtId="0" xfId="0" applyAlignment="1" applyBorder="1" applyFont="1">
      <alignment horizontal="right" readingOrder="0"/>
    </xf>
    <xf borderId="113" fillId="3" fontId="3" numFmtId="0" xfId="0" applyBorder="1" applyFont="1"/>
    <xf borderId="113" fillId="3" fontId="3" numFmtId="0" xfId="0" applyAlignment="1" applyBorder="1" applyFont="1">
      <alignment horizontal="left" readingOrder="0" shrinkToFit="0" vertical="center" wrapText="1"/>
    </xf>
    <xf borderId="114" fillId="3" fontId="3" numFmtId="0" xfId="0" applyAlignment="1" applyBorder="1" applyFont="1">
      <alignment horizontal="right" readingOrder="0" shrinkToFit="0" vertical="center" wrapText="1"/>
    </xf>
    <xf borderId="115" fillId="3" fontId="3" numFmtId="0" xfId="0" applyBorder="1" applyFont="1"/>
    <xf borderId="112" fillId="4" fontId="3" numFmtId="0" xfId="0" applyAlignment="1" applyBorder="1" applyFont="1">
      <alignment horizontal="right" readingOrder="0"/>
    </xf>
    <xf borderId="113" fillId="4" fontId="3" numFmtId="0" xfId="0" applyBorder="1" applyFont="1"/>
    <xf borderId="113" fillId="4" fontId="3" numFmtId="0" xfId="0" applyAlignment="1" applyBorder="1" applyFont="1">
      <alignment horizontal="left" readingOrder="0"/>
    </xf>
    <xf borderId="114" fillId="4" fontId="3" numFmtId="0" xfId="0" applyAlignment="1" applyBorder="1" applyFont="1">
      <alignment horizontal="right" readingOrder="0"/>
    </xf>
    <xf borderId="115" fillId="4" fontId="3" numFmtId="0" xfId="0" applyBorder="1" applyFont="1"/>
    <xf borderId="112" fillId="23" fontId="3" numFmtId="0" xfId="0" applyAlignment="1" applyBorder="1" applyFill="1" applyFont="1">
      <alignment horizontal="right" readingOrder="0"/>
    </xf>
    <xf borderId="113" fillId="23" fontId="3" numFmtId="0" xfId="0" applyAlignment="1" applyBorder="1" applyFont="1">
      <alignment horizontal="left" readingOrder="0"/>
    </xf>
    <xf borderId="114" fillId="14" fontId="3" numFmtId="0" xfId="0" applyAlignment="1" applyBorder="1" applyFont="1">
      <alignment horizontal="right" readingOrder="0"/>
    </xf>
    <xf borderId="113" fillId="14" fontId="3" numFmtId="0" xfId="0" applyAlignment="1" applyBorder="1" applyFont="1">
      <alignment horizontal="left" readingOrder="0"/>
    </xf>
    <xf borderId="116" fillId="4" fontId="3" numFmtId="0" xfId="0" applyAlignment="1" applyBorder="1" applyFont="1">
      <alignment horizontal="right" readingOrder="0"/>
    </xf>
    <xf borderId="117" fillId="4" fontId="3" numFmtId="0" xfId="0" applyBorder="1" applyFont="1"/>
    <xf borderId="117" fillId="4" fontId="3" numFmtId="0" xfId="0" applyAlignment="1" applyBorder="1" applyFont="1">
      <alignment horizontal="left" readingOrder="0"/>
    </xf>
    <xf borderId="118" fillId="4" fontId="3" numFmtId="0" xfId="0" applyAlignment="1" applyBorder="1" applyFont="1">
      <alignment horizontal="right" readingOrder="0"/>
    </xf>
    <xf borderId="119" fillId="4" fontId="3" numFmtId="0" xfId="0" applyBorder="1" applyFont="1"/>
    <xf borderId="84" fillId="0" fontId="1" numFmtId="0" xfId="0" applyAlignment="1" applyBorder="1" applyFont="1">
      <alignment horizontal="center" readingOrder="0" shrinkToFit="0" vertical="center" wrapText="1"/>
    </xf>
    <xf borderId="66" fillId="0" fontId="2" numFmtId="0" xfId="0" applyAlignment="1" applyBorder="1" applyFont="1">
      <alignment horizontal="left" vertical="center"/>
    </xf>
    <xf borderId="112" fillId="0" fontId="77" numFmtId="0" xfId="0" applyAlignment="1" applyBorder="1" applyFont="1">
      <alignment horizontal="right" readingOrder="0" vertical="center"/>
    </xf>
    <xf borderId="113" fillId="0" fontId="77" numFmtId="0" xfId="0" applyAlignment="1" applyBorder="1" applyFont="1">
      <alignment readingOrder="0" vertical="center"/>
    </xf>
    <xf borderId="113" fillId="0" fontId="43" numFmtId="0" xfId="0" applyAlignment="1" applyBorder="1" applyFont="1">
      <alignment vertical="center"/>
    </xf>
    <xf borderId="113" fillId="0" fontId="77" numFmtId="0" xfId="0" applyAlignment="1" applyBorder="1" applyFont="1">
      <alignment vertical="center"/>
    </xf>
    <xf borderId="113" fillId="0" fontId="77" numFmtId="0" xfId="0" applyAlignment="1" applyBorder="1" applyFont="1">
      <alignment horizontal="right" readingOrder="0" vertical="center"/>
    </xf>
    <xf borderId="113" fillId="0" fontId="3" numFmtId="0" xfId="0" applyAlignment="1" applyBorder="1" applyFont="1">
      <alignment vertical="center"/>
    </xf>
    <xf borderId="120" fillId="21" fontId="87" numFmtId="0" xfId="0" applyAlignment="1" applyBorder="1" applyFont="1">
      <alignment horizontal="center" readingOrder="0" shrinkToFit="0" vertical="center" wrapText="1"/>
    </xf>
    <xf borderId="120" fillId="0" fontId="3" numFmtId="0" xfId="0" applyBorder="1" applyFont="1"/>
    <xf borderId="121" fillId="0" fontId="77" numFmtId="0" xfId="0" applyAlignment="1" applyBorder="1" applyFont="1">
      <alignment horizontal="right" readingOrder="0" vertical="center"/>
    </xf>
    <xf borderId="122" fillId="0" fontId="77" numFmtId="0" xfId="0" applyAlignment="1" applyBorder="1" applyFont="1">
      <alignment readingOrder="0" vertical="center"/>
    </xf>
    <xf borderId="122" fillId="0" fontId="43" numFmtId="0" xfId="0" applyAlignment="1" applyBorder="1" applyFont="1">
      <alignment vertical="center"/>
    </xf>
    <xf borderId="122" fillId="0" fontId="77" numFmtId="0" xfId="0" applyAlignment="1" applyBorder="1" applyFont="1">
      <alignment vertical="center"/>
    </xf>
    <xf borderId="122" fillId="0" fontId="77" numFmtId="0" xfId="0" applyAlignment="1" applyBorder="1" applyFont="1">
      <alignment horizontal="right" readingOrder="0" vertical="center"/>
    </xf>
    <xf borderId="122" fillId="0" fontId="3" numFmtId="0" xfId="0" applyAlignment="1" applyBorder="1" applyFont="1">
      <alignment vertical="center"/>
    </xf>
    <xf borderId="0" fillId="0" fontId="3" numFmtId="0" xfId="0" applyAlignment="1" applyFont="1">
      <alignment horizontal="left" vertical="center"/>
    </xf>
    <xf borderId="0" fillId="0" fontId="88" numFmtId="0" xfId="0" applyAlignment="1" applyFont="1">
      <alignment horizontal="left" readingOrder="0" vertical="center"/>
    </xf>
    <xf borderId="0" fillId="0" fontId="88" numFmtId="0" xfId="0" applyAlignment="1" applyFont="1">
      <alignment readingOrder="0" vertical="center"/>
    </xf>
    <xf borderId="0" fillId="0" fontId="89" numFmtId="0" xfId="0" applyAlignment="1" applyFont="1">
      <alignment readingOrder="0" shrinkToFit="0" vertical="center" wrapText="1"/>
    </xf>
    <xf borderId="0" fillId="0" fontId="90" numFmtId="0" xfId="0" applyAlignment="1" applyFont="1">
      <alignment readingOrder="0" vertical="center"/>
    </xf>
    <xf borderId="0" fillId="3" fontId="91" numFmtId="0" xfId="0" applyAlignment="1" applyFont="1">
      <alignment horizontal="left" readingOrder="0" vertical="center"/>
    </xf>
    <xf borderId="0" fillId="0" fontId="3" numFmtId="0" xfId="0" applyAlignment="1" applyFont="1">
      <alignment horizontal="left" readingOrder="0" vertical="center"/>
    </xf>
    <xf borderId="0" fillId="0" fontId="3" numFmtId="0" xfId="0" applyAlignment="1" applyFont="1">
      <alignment shrinkToFit="0" vertical="center" wrapText="1"/>
    </xf>
    <xf borderId="0" fillId="0" fontId="1" numFmtId="0" xfId="0" applyAlignment="1" applyFont="1">
      <alignment horizontal="left" readingOrder="0" vertical="center"/>
    </xf>
    <xf borderId="0" fillId="0" fontId="1" numFmtId="0" xfId="0" applyAlignment="1" applyFont="1">
      <alignment readingOrder="0" vertical="center"/>
    </xf>
    <xf borderId="0" fillId="0" fontId="4" numFmtId="0" xfId="0" applyAlignment="1" applyFont="1">
      <alignment horizontal="left" vertical="center"/>
    </xf>
    <xf borderId="0" fillId="0" fontId="2" numFmtId="0" xfId="0" applyAlignment="1" applyFont="1">
      <alignment horizontal="left" readingOrder="0" vertical="center"/>
    </xf>
    <xf borderId="0" fillId="0" fontId="2" numFmtId="165" xfId="0" applyAlignment="1" applyFont="1" applyNumberFormat="1">
      <alignment vertical="center"/>
    </xf>
    <xf borderId="0" fillId="0" fontId="92" numFmtId="0" xfId="0" applyAlignment="1" applyFont="1">
      <alignment horizontal="left" readingOrder="0" vertical="center"/>
    </xf>
    <xf borderId="0" fillId="0" fontId="4" numFmtId="0" xfId="0" applyAlignment="1" applyFont="1">
      <alignment readingOrder="0" shrinkToFit="0" vertical="center" wrapText="1"/>
    </xf>
    <xf borderId="123" fillId="0" fontId="77" numFmtId="0" xfId="0" applyAlignment="1" applyBorder="1" applyFont="1">
      <alignment horizontal="left" readingOrder="0" vertical="center"/>
    </xf>
    <xf borderId="123" fillId="0" fontId="3" numFmtId="0" xfId="0" applyBorder="1" applyFont="1"/>
    <xf borderId="123" fillId="0" fontId="77" numFmtId="165" xfId="0" applyAlignment="1" applyBorder="1" applyFont="1" applyNumberFormat="1">
      <alignment vertical="center"/>
    </xf>
    <xf borderId="0" fillId="0" fontId="93" numFmtId="0" xfId="0" applyAlignment="1" applyFont="1">
      <alignment horizontal="right" readingOrder="0" vertical="center"/>
    </xf>
    <xf borderId="124" fillId="0" fontId="1" numFmtId="0" xfId="0" applyAlignment="1" applyBorder="1" applyFont="1">
      <alignment readingOrder="0"/>
    </xf>
    <xf borderId="124" fillId="0" fontId="1" numFmtId="10" xfId="0" applyAlignment="1" applyBorder="1" applyFont="1" applyNumberFormat="1">
      <alignment readingOrder="0"/>
    </xf>
    <xf borderId="124" fillId="0" fontId="1" numFmtId="0" xfId="0" applyAlignment="1" applyBorder="1" applyFont="1">
      <alignment horizontal="center" readingOrder="0"/>
    </xf>
    <xf borderId="125" fillId="0" fontId="3" numFmtId="0" xfId="0" applyAlignment="1" applyBorder="1" applyFont="1">
      <alignment readingOrder="0"/>
    </xf>
    <xf borderId="125" fillId="0" fontId="3" numFmtId="10" xfId="0" applyAlignment="1" applyBorder="1" applyFont="1" applyNumberFormat="1">
      <alignment readingOrder="0"/>
    </xf>
    <xf borderId="125" fillId="0" fontId="3" numFmtId="10" xfId="0" applyAlignment="1" applyBorder="1" applyFont="1" applyNumberFormat="1">
      <alignment horizontal="center"/>
    </xf>
    <xf borderId="125" fillId="0" fontId="3" numFmtId="10" xfId="0" applyBorder="1" applyFont="1" applyNumberFormat="1"/>
    <xf borderId="125" fillId="0" fontId="3" numFmtId="0" xfId="0" applyBorder="1" applyFont="1"/>
    <xf borderId="125" fillId="0" fontId="3" numFmtId="0" xfId="0" applyAlignment="1" applyBorder="1" applyFont="1">
      <alignment horizontal="center"/>
    </xf>
    <xf borderId="126" fillId="0" fontId="3" numFmtId="0" xfId="0" applyBorder="1" applyFont="1"/>
    <xf borderId="126" fillId="0" fontId="3" numFmtId="10" xfId="0" applyBorder="1" applyFont="1" applyNumberFormat="1"/>
    <xf borderId="126" fillId="0" fontId="3" numFmtId="0" xfId="0" applyAlignment="1" applyBorder="1" applyFont="1">
      <alignment horizontal="center"/>
    </xf>
  </cellXfs>
  <cellStyles count="1">
    <cellStyle xfId="0" name="Normal" builtinId="0"/>
  </cellStyles>
  <dxfs count="11">
    <dxf>
      <font/>
      <fill>
        <patternFill patternType="none"/>
      </fill>
      <border/>
    </dxf>
    <dxf>
      <font>
        <b/>
        <color rgb="FFFFFFFF"/>
      </font>
      <fill>
        <patternFill patternType="solid">
          <fgColor rgb="FFA3C0C4"/>
          <bgColor rgb="FFA3C0C4"/>
        </patternFill>
      </fill>
      <border/>
    </dxf>
    <dxf>
      <font>
        <b/>
        <color rgb="FF000000"/>
      </font>
      <fill>
        <patternFill patternType="none"/>
      </fill>
      <border/>
    </dxf>
    <dxf>
      <font>
        <b/>
        <color rgb="FFFFFFFF"/>
      </font>
      <fill>
        <patternFill patternType="solid">
          <fgColor rgb="FF99222A"/>
          <bgColor rgb="FF99222A"/>
        </patternFill>
      </fill>
      <border/>
    </dxf>
    <dxf>
      <font/>
      <fill>
        <patternFill patternType="solid">
          <fgColor rgb="FFFFE4E4"/>
          <bgColor rgb="FFFFE4E4"/>
        </patternFill>
      </fill>
      <border/>
    </dxf>
    <dxf>
      <font>
        <color rgb="FFFFFFFF"/>
      </font>
      <fill>
        <patternFill patternType="solid">
          <fgColor rgb="FF99222A"/>
          <bgColor rgb="FF99222A"/>
        </patternFill>
      </fill>
      <border/>
    </dxf>
    <dxf>
      <font/>
      <fill>
        <patternFill patternType="solid">
          <fgColor rgb="FFF4CCCC"/>
          <bgColor rgb="FFF4CCCC"/>
        </patternFill>
      </fill>
      <border/>
    </dxf>
    <dxf>
      <font>
        <b/>
        <color rgb="FF000000"/>
      </font>
      <fill>
        <patternFill patternType="solid">
          <fgColor rgb="FFFFFFFF"/>
          <bgColor rgb="FFFFFFFF"/>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DBDBD"/>
          <bgColor rgb="FFBDBDBD"/>
        </patternFill>
      </fill>
      <border/>
    </dxf>
  </dxfs>
  <tableStyles count="2">
    <tableStyle count="2" pivot="0" name="Obesity-style">
      <tableStyleElement dxfId="8" type="firstRowStripe"/>
      <tableStyleElement dxfId="9" type="secondRowStripe"/>
    </tableStyle>
    <tableStyle count="3" pivot="0" name="Cooking Yield Data-style">
      <tableStyleElement dxfId="10" type="headerRow"/>
      <tableStyleElement dxfId="8" type="firstRowStripe"/>
      <tableStyleElement dxfId="9"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explosion val="0"/>
            <c:spPr>
              <a:solidFill>
                <a:srgbClr val="3D85C6"/>
              </a:solidFill>
            </c:spPr>
          </c:dPt>
          <c:dPt>
            <c:idx val="1"/>
            <c:spPr>
              <a:solidFill>
                <a:srgbClr val="990000"/>
              </a:solidFill>
            </c:spPr>
          </c:dPt>
          <c:dPt>
            <c:idx val="2"/>
            <c:spPr>
              <a:solidFill>
                <a:srgbClr val="E69138"/>
              </a:solidFill>
            </c:spPr>
          </c:dPt>
          <c:dPt>
            <c:idx val="3"/>
            <c:spPr>
              <a:solidFill>
                <a:srgbClr val="F1C232"/>
              </a:solidFill>
            </c:spPr>
          </c:dPt>
          <c:dPt>
            <c:idx val="4"/>
            <c:spPr>
              <a:solidFill>
                <a:srgbClr val="38761D"/>
              </a:solidFill>
            </c:spPr>
          </c:dPt>
          <c:dPt>
            <c:idx val="5"/>
            <c:spPr>
              <a:solidFill>
                <a:srgbClr val="666666"/>
              </a:solidFill>
            </c:spPr>
          </c:dPt>
          <c:dLbls>
            <c:showLegendKey val="0"/>
            <c:showVal val="0"/>
            <c:showCatName val="0"/>
            <c:showSerName val="0"/>
            <c:showPercent val="1"/>
            <c:showBubbleSize val="0"/>
            <c:showLeaderLines val="1"/>
          </c:dLbls>
          <c:cat>
            <c:strRef>
              <c:f>'Unbalanced PMR Recipe'!$I$30:$I$35</c:f>
            </c:strRef>
          </c:cat>
          <c:val>
            <c:numRef>
              <c:f>'Unbalanced PMR Recipe'!$L$30:$L$35</c:f>
              <c:numCache/>
            </c:numRef>
          </c:val>
        </c:ser>
        <c:dLbls>
          <c:showLegendKey val="0"/>
          <c:showVal val="0"/>
          <c:showCatName val="0"/>
          <c:showSerName val="0"/>
          <c:showPercent val="0"/>
          <c:showBubbleSize val="0"/>
        </c:dLbls>
        <c:firstSliceAng val="0"/>
      </c:pieChart>
    </c:plotArea>
    <c:plotVisOnly val="1"/>
  </c:chart>
  <c:spPr>
    <a:solidFill>
      <a:srgbClr val="FFFFFF">
        <a:alpha val="0"/>
      </a:srgbClr>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explosion val="0"/>
            <c:spPr>
              <a:solidFill>
                <a:srgbClr val="3D85C6"/>
              </a:solidFill>
            </c:spPr>
          </c:dPt>
          <c:dPt>
            <c:idx val="1"/>
            <c:spPr>
              <a:solidFill>
                <a:srgbClr val="A61C00"/>
              </a:solidFill>
            </c:spPr>
          </c:dPt>
          <c:dPt>
            <c:idx val="2"/>
            <c:spPr>
              <a:solidFill>
                <a:srgbClr val="E69138"/>
              </a:solidFill>
            </c:spPr>
          </c:dPt>
          <c:dPt>
            <c:idx val="3"/>
            <c:spPr>
              <a:solidFill>
                <a:srgbClr val="F1C232"/>
              </a:solidFill>
            </c:spPr>
          </c:dPt>
          <c:dPt>
            <c:idx val="4"/>
            <c:spPr>
              <a:solidFill>
                <a:srgbClr val="38761D"/>
              </a:solidFill>
            </c:spPr>
          </c:dPt>
          <c:dPt>
            <c:idx val="5"/>
            <c:spPr>
              <a:solidFill>
                <a:srgbClr val="666666"/>
              </a:solidFill>
            </c:spPr>
          </c:dPt>
          <c:dLbls>
            <c:showLegendKey val="0"/>
            <c:showVal val="0"/>
            <c:showCatName val="0"/>
            <c:showSerName val="0"/>
            <c:showPercent val="1"/>
            <c:showBubbleSize val="0"/>
            <c:showLeaderLines val="1"/>
          </c:dLbls>
          <c:cat>
            <c:strRef>
              <c:f>'Unbalanced PMR Recipe'!$B$30:$B$35</c:f>
            </c:strRef>
          </c:cat>
          <c:val>
            <c:numRef>
              <c:f>'Unbalanced PMR Recipe'!$D$30:$D$35</c:f>
              <c:numCache/>
            </c:numRef>
          </c:val>
        </c:ser>
        <c:dLbls>
          <c:showLegendKey val="0"/>
          <c:showVal val="0"/>
          <c:showCatName val="0"/>
          <c:showSerName val="0"/>
          <c:showPercent val="0"/>
          <c:showBubbleSize val="0"/>
        </c:dLbls>
        <c:firstSliceAng val="0"/>
      </c:pieChart>
    </c:plotArea>
    <c:plotVisOnly val="1"/>
  </c:chart>
  <c:spPr>
    <a:solidFill>
      <a:srgbClr val="FFFFFF">
        <a:alpha val="0"/>
      </a:srgbClr>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explosion val="0"/>
            <c:spPr>
              <a:solidFill>
                <a:srgbClr val="3D85C6"/>
              </a:solidFill>
            </c:spPr>
          </c:dPt>
          <c:dPt>
            <c:idx val="1"/>
            <c:spPr>
              <a:solidFill>
                <a:srgbClr val="990000"/>
              </a:solidFill>
            </c:spPr>
          </c:dPt>
          <c:dPt>
            <c:idx val="2"/>
            <c:spPr>
              <a:solidFill>
                <a:srgbClr val="E69138"/>
              </a:solidFill>
            </c:spPr>
          </c:dPt>
          <c:dPt>
            <c:idx val="3"/>
            <c:spPr>
              <a:solidFill>
                <a:srgbClr val="F1C232"/>
              </a:solidFill>
            </c:spPr>
          </c:dPt>
          <c:dPt>
            <c:idx val="4"/>
            <c:spPr>
              <a:solidFill>
                <a:srgbClr val="38761D"/>
              </a:solidFill>
            </c:spPr>
          </c:dPt>
          <c:dPt>
            <c:idx val="5"/>
            <c:spPr>
              <a:solidFill>
                <a:srgbClr val="666666"/>
              </a:solidFill>
            </c:spPr>
          </c:dPt>
          <c:dLbls>
            <c:showLegendKey val="0"/>
            <c:showVal val="0"/>
            <c:showCatName val="0"/>
            <c:showSerName val="0"/>
            <c:showPercent val="1"/>
            <c:showBubbleSize val="0"/>
            <c:showLeaderLines val="1"/>
          </c:dLbls>
          <c:cat>
            <c:strRef>
              <c:f>'Balanced Recipe'!$I$39:$I$44</c:f>
            </c:strRef>
          </c:cat>
          <c:val>
            <c:numRef>
              <c:f>'Balanced Recipe'!$L$39:$L$44</c:f>
              <c:numCache/>
            </c:numRef>
          </c:val>
        </c:ser>
        <c:dLbls>
          <c:showLegendKey val="0"/>
          <c:showVal val="0"/>
          <c:showCatName val="0"/>
          <c:showSerName val="0"/>
          <c:showPercent val="0"/>
          <c:showBubbleSize val="0"/>
        </c:dLbls>
        <c:firstSliceAng val="0"/>
      </c:pieChart>
    </c:plotArea>
    <c:plotVisOnly val="1"/>
  </c:chart>
  <c:spPr>
    <a:solidFill>
      <a:srgbClr val="FFFFFF">
        <a:alpha val="0"/>
      </a:srgbClr>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explosion val="0"/>
            <c:spPr>
              <a:solidFill>
                <a:srgbClr val="3D85C6"/>
              </a:solidFill>
            </c:spPr>
          </c:dPt>
          <c:dPt>
            <c:idx val="1"/>
            <c:spPr>
              <a:solidFill>
                <a:srgbClr val="A61C00"/>
              </a:solidFill>
            </c:spPr>
          </c:dPt>
          <c:dPt>
            <c:idx val="2"/>
            <c:spPr>
              <a:solidFill>
                <a:srgbClr val="E69138"/>
              </a:solidFill>
            </c:spPr>
          </c:dPt>
          <c:dPt>
            <c:idx val="3"/>
            <c:spPr>
              <a:solidFill>
                <a:srgbClr val="F1C232"/>
              </a:solidFill>
            </c:spPr>
          </c:dPt>
          <c:dPt>
            <c:idx val="4"/>
            <c:spPr>
              <a:solidFill>
                <a:srgbClr val="38761D"/>
              </a:solidFill>
            </c:spPr>
          </c:dPt>
          <c:dPt>
            <c:idx val="5"/>
            <c:spPr>
              <a:solidFill>
                <a:srgbClr val="666666"/>
              </a:solidFill>
            </c:spPr>
          </c:dPt>
          <c:dLbls>
            <c:showLegendKey val="0"/>
            <c:showVal val="0"/>
            <c:showCatName val="0"/>
            <c:showSerName val="0"/>
            <c:showPercent val="1"/>
            <c:showBubbleSize val="0"/>
            <c:showLeaderLines val="1"/>
          </c:dLbls>
          <c:cat>
            <c:strRef>
              <c:f>'Balanced Recipe'!$B$39:$B$44</c:f>
            </c:strRef>
          </c:cat>
          <c:val>
            <c:numRef>
              <c:f>'Balanced Recipe'!$D$39:$D$44</c:f>
              <c:numCache/>
            </c:numRef>
          </c:val>
        </c:ser>
        <c:dLbls>
          <c:showLegendKey val="0"/>
          <c:showVal val="0"/>
          <c:showCatName val="0"/>
          <c:showSerName val="0"/>
          <c:showPercent val="0"/>
          <c:showBubbleSize val="0"/>
        </c:dLbls>
        <c:firstSliceAng val="0"/>
      </c:pieChart>
    </c:plotArea>
    <c:plotVisOnly val="1"/>
  </c:chart>
  <c:spPr>
    <a:solidFill>
      <a:srgbClr val="FFFFFF">
        <a:alpha val="0"/>
      </a:srgbClr>
    </a:solidFill>
  </c:spPr>
</c:chartSpace>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jpg"/><Relationship Id="rId3" Type="http://schemas.openxmlformats.org/officeDocument/2006/relationships/image" Target="../media/image2.jpg"/><Relationship Id="rId4" Type="http://schemas.openxmlformats.org/officeDocument/2006/relationships/image" Target="../media/image5.jpg"/><Relationship Id="rId5"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295275" cy="295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28575</xdr:colOff>
      <xdr:row>19</xdr:row>
      <xdr:rowOff>57150</xdr:rowOff>
    </xdr:from>
    <xdr:ext cx="4057650" cy="18383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19</xdr:row>
      <xdr:rowOff>57150</xdr:rowOff>
    </xdr:from>
    <xdr:ext cx="4057650" cy="18383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28575</xdr:colOff>
      <xdr:row>28</xdr:row>
      <xdr:rowOff>57150</xdr:rowOff>
    </xdr:from>
    <xdr:ext cx="4057650" cy="183832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28</xdr:row>
      <xdr:rowOff>57150</xdr:rowOff>
    </xdr:from>
    <xdr:ext cx="4057650" cy="1838325"/>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xdr:row>
      <xdr:rowOff>0</xdr:rowOff>
    </xdr:from>
    <xdr:ext cx="161925" cy="2000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6</xdr:row>
      <xdr:rowOff>0</xdr:rowOff>
    </xdr:from>
    <xdr:ext cx="161925" cy="2000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0</xdr:colOff>
      <xdr:row>6</xdr:row>
      <xdr:rowOff>0</xdr:rowOff>
    </xdr:from>
    <xdr:ext cx="161925" cy="200025"/>
    <xdr:pic>
      <xdr:nvPicPr>
        <xdr:cNvPr id="0" name="image2.jpg"/>
        <xdr:cNvPicPr preferRelativeResize="0"/>
      </xdr:nvPicPr>
      <xdr:blipFill>
        <a:blip cstate="print" r:embed="rId3"/>
        <a:stretch>
          <a:fillRect/>
        </a:stretch>
      </xdr:blipFill>
      <xdr:spPr>
        <a:prstGeom prst="rect">
          <a:avLst/>
        </a:prstGeom>
        <a:noFill/>
      </xdr:spPr>
    </xdr:pic>
    <xdr:clientData fLocksWithSheet="0"/>
  </xdr:oneCellAnchor>
  <xdr:oneCellAnchor>
    <xdr:from>
      <xdr:col>17</xdr:col>
      <xdr:colOff>0</xdr:colOff>
      <xdr:row>6</xdr:row>
      <xdr:rowOff>0</xdr:rowOff>
    </xdr:from>
    <xdr:ext cx="161925" cy="20002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oneCellAnchor>
    <xdr:from>
      <xdr:col>12</xdr:col>
      <xdr:colOff>0</xdr:colOff>
      <xdr:row>28</xdr:row>
      <xdr:rowOff>0</xdr:rowOff>
    </xdr:from>
    <xdr:ext cx="247650" cy="171450"/>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49:K50" displayName="Table_1" name="Table_1" id="1">
  <tableColumns count="11">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s>
  <tableStyleInfo name="Obesity-style" showColumnStripes="0" showFirstColumn="1" showLastColumn="1" showRowStripes="1"/>
</table>
</file>

<file path=xl/tables/table2.xml><?xml version="1.0" encoding="utf-8"?>
<table xmlns="http://schemas.openxmlformats.org/spreadsheetml/2006/main" ref="A1:C1014" displayName="Table_2" name="Table_2" id="2">
  <tableColumns count="3">
    <tableColumn name="Ingredient" id="1"/>
    <tableColumn name="Yield %" id="2"/>
    <tableColumn name="Reduction" id="3"/>
  </tableColumns>
  <tableStyleInfo name="Cooking Yield Data-style" showColumnStripes="0" showFirstColumn="1" showLastColumn="1" showRowStripes="1"/>
</table>
</file>

<file path=xl/worksheets/_rels/sheet1.xml.rels><?xml version="1.0" encoding="UTF-8" standalone="yes"?><Relationships xmlns="http://schemas.openxmlformats.org/package/2006/relationships"><Relationship Id="rId40" Type="http://schemas.openxmlformats.org/officeDocument/2006/relationships/hyperlink" Target="https://amzn.to/3urBUnS" TargetMode="External"/><Relationship Id="rId42" Type="http://schemas.openxmlformats.org/officeDocument/2006/relationships/hyperlink" Target="https://iherb.co/CC4Xn8s" TargetMode="External"/><Relationship Id="rId41" Type="http://schemas.openxmlformats.org/officeDocument/2006/relationships/hyperlink" Target="https://amzn.to/3orfxuW" TargetMode="External"/><Relationship Id="rId44" Type="http://schemas.openxmlformats.org/officeDocument/2006/relationships/hyperlink" Target="https://iherb.co/6Da1WnF" TargetMode="External"/><Relationship Id="rId43" Type="http://schemas.openxmlformats.org/officeDocument/2006/relationships/hyperlink" Target="https://amzn.to/3oolqZR" TargetMode="External"/><Relationship Id="rId46" Type="http://schemas.openxmlformats.org/officeDocument/2006/relationships/hyperlink" Target="https://iherb.co/fKwas7H" TargetMode="External"/><Relationship Id="rId45" Type="http://schemas.openxmlformats.org/officeDocument/2006/relationships/hyperlink" Target="https://amzn.to/3sk5MQ2" TargetMode="External"/><Relationship Id="rId107" Type="http://schemas.openxmlformats.org/officeDocument/2006/relationships/hyperlink" Target="https://amzn.to/3MntpzB" TargetMode="External"/><Relationship Id="rId106" Type="http://schemas.openxmlformats.org/officeDocument/2006/relationships/hyperlink" Target="https://iherb.co/rLo7mJQ" TargetMode="External"/><Relationship Id="rId105" Type="http://schemas.openxmlformats.org/officeDocument/2006/relationships/hyperlink" Target="https://amzn.to/3oooogI" TargetMode="External"/><Relationship Id="rId104" Type="http://schemas.openxmlformats.org/officeDocument/2006/relationships/hyperlink" Target="https://iherb.co/2juNee9" TargetMode="External"/><Relationship Id="rId109" Type="http://schemas.openxmlformats.org/officeDocument/2006/relationships/hyperlink" Target="https://amzn.to/34yr8l0" TargetMode="External"/><Relationship Id="rId108" Type="http://schemas.openxmlformats.org/officeDocument/2006/relationships/hyperlink" Target="https://iherb.co/uEgfz1o" TargetMode="External"/><Relationship Id="rId48" Type="http://schemas.openxmlformats.org/officeDocument/2006/relationships/hyperlink" Target="https://iherb.co/aaVZUzp" TargetMode="External"/><Relationship Id="rId47" Type="http://schemas.openxmlformats.org/officeDocument/2006/relationships/hyperlink" Target="https://amzn.to/3Ladipp" TargetMode="External"/><Relationship Id="rId49" Type="http://schemas.openxmlformats.org/officeDocument/2006/relationships/hyperlink" Target="https://amzn.to/3L8jtKE" TargetMode="External"/><Relationship Id="rId103" Type="http://schemas.openxmlformats.org/officeDocument/2006/relationships/hyperlink" Target="https://amzn.to/3L2BCtg" TargetMode="External"/><Relationship Id="rId102" Type="http://schemas.openxmlformats.org/officeDocument/2006/relationships/hyperlink" Target="https://iherb.co/596BY7D" TargetMode="External"/><Relationship Id="rId101" Type="http://schemas.openxmlformats.org/officeDocument/2006/relationships/hyperlink" Target="https://amzn.to/3K1mV8a" TargetMode="External"/><Relationship Id="rId100" Type="http://schemas.openxmlformats.org/officeDocument/2006/relationships/hyperlink" Target="https://iherb.co/sdW5D5G" TargetMode="External"/><Relationship Id="rId31" Type="http://schemas.openxmlformats.org/officeDocument/2006/relationships/hyperlink" Target="https://iherb.co/NAGf1vU" TargetMode="External"/><Relationship Id="rId30" Type="http://schemas.openxmlformats.org/officeDocument/2006/relationships/hyperlink" Target="https://amzn.to/3HvYGyk" TargetMode="External"/><Relationship Id="rId33" Type="http://schemas.openxmlformats.org/officeDocument/2006/relationships/hyperlink" Target="https://iherb.co/ivubacd" TargetMode="External"/><Relationship Id="rId32" Type="http://schemas.openxmlformats.org/officeDocument/2006/relationships/hyperlink" Target="https://amzn.to/3opIhE5" TargetMode="External"/><Relationship Id="rId35" Type="http://schemas.openxmlformats.org/officeDocument/2006/relationships/hyperlink" Target="https://iherb.co/Nzcm5wA" TargetMode="External"/><Relationship Id="rId34" Type="http://schemas.openxmlformats.org/officeDocument/2006/relationships/hyperlink" Target="https://amzn.to/35ItldL" TargetMode="External"/><Relationship Id="rId37" Type="http://schemas.openxmlformats.org/officeDocument/2006/relationships/hyperlink" Target="https://iherb.co/7zbm7Ub" TargetMode="External"/><Relationship Id="rId36" Type="http://schemas.openxmlformats.org/officeDocument/2006/relationships/hyperlink" Target="https://amzn.to/3Gtq7HY" TargetMode="External"/><Relationship Id="rId39" Type="http://schemas.openxmlformats.org/officeDocument/2006/relationships/hyperlink" Target="https://iherb.co/yG2jwX6" TargetMode="External"/><Relationship Id="rId38" Type="http://schemas.openxmlformats.org/officeDocument/2006/relationships/hyperlink" Target="https://amzn.to/3oo9kQo" TargetMode="External"/><Relationship Id="rId20" Type="http://schemas.openxmlformats.org/officeDocument/2006/relationships/hyperlink" Target="https://iherb.co/1oa7Nc2" TargetMode="External"/><Relationship Id="rId22" Type="http://schemas.openxmlformats.org/officeDocument/2006/relationships/hyperlink" Target="https://iherb.co/tLDrXjc" TargetMode="External"/><Relationship Id="rId21" Type="http://schemas.openxmlformats.org/officeDocument/2006/relationships/hyperlink" Target="https://amzn.to/3J34oYV" TargetMode="External"/><Relationship Id="rId24" Type="http://schemas.openxmlformats.org/officeDocument/2006/relationships/hyperlink" Target="https://amzn.to/371117K" TargetMode="External"/><Relationship Id="rId23" Type="http://schemas.openxmlformats.org/officeDocument/2006/relationships/hyperlink" Target="https://amzn.to/3LacssL" TargetMode="External"/><Relationship Id="rId129" Type="http://schemas.openxmlformats.org/officeDocument/2006/relationships/hyperlink" Target="https://amzn.to/3vuQPws" TargetMode="External"/><Relationship Id="rId128" Type="http://schemas.openxmlformats.org/officeDocument/2006/relationships/hyperlink" Target="https://amzn.to/3rFz4ta" TargetMode="External"/><Relationship Id="rId127" Type="http://schemas.openxmlformats.org/officeDocument/2006/relationships/hyperlink" Target="https://amzn.to/3rI9Fip" TargetMode="External"/><Relationship Id="rId126" Type="http://schemas.openxmlformats.org/officeDocument/2006/relationships/hyperlink" Target="https://iherb.co/4xLZU2n" TargetMode="External"/><Relationship Id="rId26" Type="http://schemas.openxmlformats.org/officeDocument/2006/relationships/hyperlink" Target="https://amzn.to/349Us1b" TargetMode="External"/><Relationship Id="rId121" Type="http://schemas.openxmlformats.org/officeDocument/2006/relationships/hyperlink" Target="https://amzn.to/3MjpFz9" TargetMode="External"/><Relationship Id="rId25" Type="http://schemas.openxmlformats.org/officeDocument/2006/relationships/hyperlink" Target="https://iherb.co/YUH25Jc" TargetMode="External"/><Relationship Id="rId120" Type="http://schemas.openxmlformats.org/officeDocument/2006/relationships/hyperlink" Target="https://amzn.to/3hXlpIH" TargetMode="External"/><Relationship Id="rId28" Type="http://schemas.openxmlformats.org/officeDocument/2006/relationships/hyperlink" Target="https://amzn.to/3gujcU5" TargetMode="External"/><Relationship Id="rId27" Type="http://schemas.openxmlformats.org/officeDocument/2006/relationships/hyperlink" Target="https://iherb.co/fHnvgda" TargetMode="External"/><Relationship Id="rId125" Type="http://schemas.openxmlformats.org/officeDocument/2006/relationships/hyperlink" Target="https://amzn.to/3OtKutO" TargetMode="External"/><Relationship Id="rId29" Type="http://schemas.openxmlformats.org/officeDocument/2006/relationships/hyperlink" Target="https://iherb.co/MvG4C9o" TargetMode="External"/><Relationship Id="rId124" Type="http://schemas.openxmlformats.org/officeDocument/2006/relationships/hyperlink" Target="https://amzn.to/3MhGtGT" TargetMode="External"/><Relationship Id="rId123" Type="http://schemas.openxmlformats.org/officeDocument/2006/relationships/hyperlink" Target="https://amzn.to/38bIANu" TargetMode="External"/><Relationship Id="rId122" Type="http://schemas.openxmlformats.org/officeDocument/2006/relationships/hyperlink" Target="https://amzn.to/3K70RsB" TargetMode="External"/><Relationship Id="rId95" Type="http://schemas.openxmlformats.org/officeDocument/2006/relationships/hyperlink" Target="https://amzn.to/3uuEBF1" TargetMode="External"/><Relationship Id="rId94" Type="http://schemas.openxmlformats.org/officeDocument/2006/relationships/hyperlink" Target="https://iherb.co/f1qMGUW" TargetMode="External"/><Relationship Id="rId97" Type="http://schemas.openxmlformats.org/officeDocument/2006/relationships/hyperlink" Target="https://amzn.to/3L2B0Uu" TargetMode="External"/><Relationship Id="rId96" Type="http://schemas.openxmlformats.org/officeDocument/2006/relationships/hyperlink" Target="https://iherb.co/VdtnNAw" TargetMode="External"/><Relationship Id="rId11" Type="http://schemas.openxmlformats.org/officeDocument/2006/relationships/hyperlink" Target="https://amzn.to/3rnyKQ4" TargetMode="External"/><Relationship Id="rId99" Type="http://schemas.openxmlformats.org/officeDocument/2006/relationships/hyperlink" Target="https://amzn.to/3La5gN6" TargetMode="External"/><Relationship Id="rId10" Type="http://schemas.openxmlformats.org/officeDocument/2006/relationships/hyperlink" Target="https://iherb.co/SEW4E6r" TargetMode="External"/><Relationship Id="rId98" Type="http://schemas.openxmlformats.org/officeDocument/2006/relationships/hyperlink" Target="https://iherb.co/Y8XQsBV" TargetMode="External"/><Relationship Id="rId13" Type="http://schemas.openxmlformats.org/officeDocument/2006/relationships/hyperlink" Target="https://amzn.to/3KwxhOg" TargetMode="External"/><Relationship Id="rId12" Type="http://schemas.openxmlformats.org/officeDocument/2006/relationships/hyperlink" Target="https://iherb.co/dRp3koU" TargetMode="External"/><Relationship Id="rId91" Type="http://schemas.openxmlformats.org/officeDocument/2006/relationships/hyperlink" Target="https://amzn.to/3J2U9UB" TargetMode="External"/><Relationship Id="rId90" Type="http://schemas.openxmlformats.org/officeDocument/2006/relationships/hyperlink" Target="https://iherb.co/s4tJgvB" TargetMode="External"/><Relationship Id="rId93" Type="http://schemas.openxmlformats.org/officeDocument/2006/relationships/hyperlink" Target="https://amzn.to/3go6XIN" TargetMode="External"/><Relationship Id="rId92" Type="http://schemas.openxmlformats.org/officeDocument/2006/relationships/hyperlink" Target="https://iherb.co/VMJ1RNM" TargetMode="External"/><Relationship Id="rId118" Type="http://schemas.openxmlformats.org/officeDocument/2006/relationships/hyperlink" Target="https://amzn.to/3pW9VJP" TargetMode="External"/><Relationship Id="rId117" Type="http://schemas.openxmlformats.org/officeDocument/2006/relationships/hyperlink" Target="https://amzn.to/3sfvg1c" TargetMode="External"/><Relationship Id="rId116" Type="http://schemas.openxmlformats.org/officeDocument/2006/relationships/hyperlink" Target="https://iherb.co/CYX9NW3" TargetMode="External"/><Relationship Id="rId115" Type="http://schemas.openxmlformats.org/officeDocument/2006/relationships/hyperlink" Target="https://amzn.to/3LdgyAj" TargetMode="External"/><Relationship Id="rId119" Type="http://schemas.openxmlformats.org/officeDocument/2006/relationships/hyperlink" Target="https://iherb.co/zvkWbT5" TargetMode="External"/><Relationship Id="rId15" Type="http://schemas.openxmlformats.org/officeDocument/2006/relationships/hyperlink" Target="https://www.amazon.com/NOW-Vitamin-400-Dry-Capsules/dp/B003O1OCH4/ref=sr_1_2?crid=3JCYNQ5JR738Q&amp;keywords=NOW+dry+vitamin+e&amp;qid=1648588816&amp;sprefix=now+dry+vitamin+%2Caps%2C323&amp;sr=8-2" TargetMode="External"/><Relationship Id="rId110" Type="http://schemas.openxmlformats.org/officeDocument/2006/relationships/hyperlink" Target="https://iherb.co/t7vxDS6" TargetMode="External"/><Relationship Id="rId14" Type="http://schemas.openxmlformats.org/officeDocument/2006/relationships/hyperlink" Target="https://iherb.co/XShxNwH" TargetMode="External"/><Relationship Id="rId17" Type="http://schemas.openxmlformats.org/officeDocument/2006/relationships/hyperlink" Target="https://amzn.to/3umrnKx" TargetMode="External"/><Relationship Id="rId16" Type="http://schemas.openxmlformats.org/officeDocument/2006/relationships/hyperlink" Target="https://iherb.co/V9gAyAX" TargetMode="External"/><Relationship Id="rId19" Type="http://schemas.openxmlformats.org/officeDocument/2006/relationships/hyperlink" Target="https://amzn.to/3gocwXM" TargetMode="External"/><Relationship Id="rId114" Type="http://schemas.openxmlformats.org/officeDocument/2006/relationships/hyperlink" Target="https://amzn.to/36dwAtS" TargetMode="External"/><Relationship Id="rId18" Type="http://schemas.openxmlformats.org/officeDocument/2006/relationships/hyperlink" Target="https://iherb.co/56SdMnm" TargetMode="External"/><Relationship Id="rId113" Type="http://schemas.openxmlformats.org/officeDocument/2006/relationships/hyperlink" Target="https://amzn.to/35QKB0H" TargetMode="External"/><Relationship Id="rId112" Type="http://schemas.openxmlformats.org/officeDocument/2006/relationships/hyperlink" Target="https://iherb.co/kdh5Tmo" TargetMode="External"/><Relationship Id="rId111" Type="http://schemas.openxmlformats.org/officeDocument/2006/relationships/hyperlink" Target="https://amzn.to/3HtSnLS" TargetMode="External"/><Relationship Id="rId84" Type="http://schemas.openxmlformats.org/officeDocument/2006/relationships/hyperlink" Target="https://iherb.co/7tUpgtm" TargetMode="External"/><Relationship Id="rId83" Type="http://schemas.openxmlformats.org/officeDocument/2006/relationships/hyperlink" Target="https://amzn.to/349RBW5" TargetMode="External"/><Relationship Id="rId86" Type="http://schemas.openxmlformats.org/officeDocument/2006/relationships/hyperlink" Target="https://iherb.co/E2NdFuJ" TargetMode="External"/><Relationship Id="rId85" Type="http://schemas.openxmlformats.org/officeDocument/2006/relationships/hyperlink" Target="https://www.amazon.com/Bluebonnet-Nutrition-Potency-Chelated-Multiminerals/dp/B00H5865QS/ref=sr_1_9?crid=TJMJTJDM456B&amp;keywords=bluebonnet+multi+minerals&amp;qid=1646797585&amp;sprefix=bluebonnet+multiminera%2Caps%2C273&amp;sr=8-9" TargetMode="External"/><Relationship Id="rId88" Type="http://schemas.openxmlformats.org/officeDocument/2006/relationships/hyperlink" Target="https://iherb.co/HHCb773" TargetMode="External"/><Relationship Id="rId87" Type="http://schemas.openxmlformats.org/officeDocument/2006/relationships/hyperlink" Target="https://www.amazon.com/Bluebonnet-Nutrition-Multiminerals-Gluten-Free-Dairy-Free/dp/B000Z8ZMIW/ref=sr_1_1_sspa?crid=TJMJTJDM456B&amp;keywords=bluebonnet+multi+minerals&amp;qid=1646797647&amp;sprefix=bluebonnet+multiminera%2Caps%2C273&amp;sr=8-1-spons&amp;psc=1&amp;smid=A24HBZN5V6PF93&amp;spLa=ZW5jcnlwdGVkUXVhbGlmaWVyPUEzMTE1V1lYMkJKV1ZRJmVuY3J5cHRlZElkPUEwNzA5MDMzMzJFWFdUUjNBTU1ISSZlbmNyeXB0ZWRBZElkPUEwMDkzNTY5MVZRRFdJMVUyOUtRSCZ3aWRnZXROYW1lPXNwX2F0ZiZhY3Rpb249Y2xpY2tSZWRpcmVjdCZkb05vdExvZ0NsaWNrPXRydWU=" TargetMode="External"/><Relationship Id="rId89" Type="http://schemas.openxmlformats.org/officeDocument/2006/relationships/hyperlink" Target="https://amzn.to/3LafiOr" TargetMode="External"/><Relationship Id="rId80" Type="http://schemas.openxmlformats.org/officeDocument/2006/relationships/hyperlink" Target="https://iherb.co/cQqSA6g" TargetMode="External"/><Relationship Id="rId82" Type="http://schemas.openxmlformats.org/officeDocument/2006/relationships/hyperlink" Target="https://iherb.co/C7Yfuw9" TargetMode="External"/><Relationship Id="rId81" Type="http://schemas.openxmlformats.org/officeDocument/2006/relationships/hyperlink" Target="https://amzn.to/3sh6Lkb" TargetMode="External"/><Relationship Id="rId1" Type="http://schemas.openxmlformats.org/officeDocument/2006/relationships/hyperlink" Target="https://amzn.to/34x52ij" TargetMode="External"/><Relationship Id="rId2" Type="http://schemas.openxmlformats.org/officeDocument/2006/relationships/hyperlink" Target="https://iherb.co/Y7SCWW6" TargetMode="External"/><Relationship Id="rId3" Type="http://schemas.openxmlformats.org/officeDocument/2006/relationships/hyperlink" Target="https://wholisticpetorganics.com/products/wholistic-sea-blend-pure-certified-organic-kelp" TargetMode="External"/><Relationship Id="rId4" Type="http://schemas.openxmlformats.org/officeDocument/2006/relationships/hyperlink" Target="https://amzn.to/3KZtgCR" TargetMode="External"/><Relationship Id="rId9" Type="http://schemas.openxmlformats.org/officeDocument/2006/relationships/hyperlink" Target="https://amzn.to/3HnP88t" TargetMode="External"/><Relationship Id="rId5" Type="http://schemas.openxmlformats.org/officeDocument/2006/relationships/hyperlink" Target="https://amzn.to/3uCd3Oj" TargetMode="External"/><Relationship Id="rId6" Type="http://schemas.openxmlformats.org/officeDocument/2006/relationships/hyperlink" Target="https://iherb.co/UGBMNAL" TargetMode="External"/><Relationship Id="rId7" Type="http://schemas.openxmlformats.org/officeDocument/2006/relationships/hyperlink" Target="https://amzn.to/3ghbpZS" TargetMode="External"/><Relationship Id="rId8" Type="http://schemas.openxmlformats.org/officeDocument/2006/relationships/hyperlink" Target="https://iherb.co/wqN99bv" TargetMode="External"/><Relationship Id="rId73" Type="http://schemas.openxmlformats.org/officeDocument/2006/relationships/hyperlink" Target="https://amzn.to/3uqFIpp" TargetMode="External"/><Relationship Id="rId72" Type="http://schemas.openxmlformats.org/officeDocument/2006/relationships/hyperlink" Target="https://iherb.co/CLfQEiL" TargetMode="External"/><Relationship Id="rId75" Type="http://schemas.openxmlformats.org/officeDocument/2006/relationships/hyperlink" Target="https://amzn.to/3okQIk8" TargetMode="External"/><Relationship Id="rId74" Type="http://schemas.openxmlformats.org/officeDocument/2006/relationships/hyperlink" Target="https://iherb.co/MshRLpu" TargetMode="External"/><Relationship Id="rId77" Type="http://schemas.openxmlformats.org/officeDocument/2006/relationships/hyperlink" Target="https://amzn.to/3J4yfAc" TargetMode="External"/><Relationship Id="rId76" Type="http://schemas.openxmlformats.org/officeDocument/2006/relationships/hyperlink" Target="https://iherb.co/8qnbfJt" TargetMode="External"/><Relationship Id="rId79" Type="http://schemas.openxmlformats.org/officeDocument/2006/relationships/hyperlink" Target="https://amzn.to/3seCd2x" TargetMode="External"/><Relationship Id="rId78" Type="http://schemas.openxmlformats.org/officeDocument/2006/relationships/hyperlink" Target="https://iherb.co/3W6ke37" TargetMode="External"/><Relationship Id="rId71" Type="http://schemas.openxmlformats.org/officeDocument/2006/relationships/hyperlink" Target="https://iherb.co/7sKT4yc" TargetMode="External"/><Relationship Id="rId70" Type="http://schemas.openxmlformats.org/officeDocument/2006/relationships/hyperlink" Target="https://amzn.to/37wRGnS" TargetMode="External"/><Relationship Id="rId132" Type="http://schemas.openxmlformats.org/officeDocument/2006/relationships/drawing" Target="../drawings/drawing1.xml"/><Relationship Id="rId131" Type="http://schemas.openxmlformats.org/officeDocument/2006/relationships/hyperlink" Target="https://iherb.co/SqnBgxv" TargetMode="External"/><Relationship Id="rId130" Type="http://schemas.openxmlformats.org/officeDocument/2006/relationships/hyperlink" Target="https://amzn.to/36y37vx" TargetMode="External"/><Relationship Id="rId62" Type="http://schemas.openxmlformats.org/officeDocument/2006/relationships/hyperlink" Target="https://iherb.co/5HrWaJt" TargetMode="External"/><Relationship Id="rId61" Type="http://schemas.openxmlformats.org/officeDocument/2006/relationships/hyperlink" Target="https://amzn.to/3i30owd" TargetMode="External"/><Relationship Id="rId64" Type="http://schemas.openxmlformats.org/officeDocument/2006/relationships/hyperlink" Target="https://iherb.co/s7PfwUU" TargetMode="External"/><Relationship Id="rId63" Type="http://schemas.openxmlformats.org/officeDocument/2006/relationships/hyperlink" Target="https://www.amazon.com/NOW-Iron-120-Veg-Capsules/dp/B000WQDD2O/ref=sr_1_2?keywords=now+iron+bisglycinate&amp;qid=1646871527&amp;sprefix=now+iron+b%2Caps%2C118&amp;sr=8-2" TargetMode="External"/><Relationship Id="rId66" Type="http://schemas.openxmlformats.org/officeDocument/2006/relationships/hyperlink" Target="https://iherb.co/VzFZtBR" TargetMode="External"/><Relationship Id="rId65" Type="http://schemas.openxmlformats.org/officeDocument/2006/relationships/hyperlink" Target="https://amzn.to/3HsOXJj" TargetMode="External"/><Relationship Id="rId68" Type="http://schemas.openxmlformats.org/officeDocument/2006/relationships/hyperlink" Target="https://amzn.to/3J2Q2aX" TargetMode="External"/><Relationship Id="rId67" Type="http://schemas.openxmlformats.org/officeDocument/2006/relationships/hyperlink" Target="https://amzn.to/3orkrbj" TargetMode="External"/><Relationship Id="rId60" Type="http://schemas.openxmlformats.org/officeDocument/2006/relationships/hyperlink" Target="https://iherb.co/TyuDNqb" TargetMode="External"/><Relationship Id="rId69" Type="http://schemas.openxmlformats.org/officeDocument/2006/relationships/hyperlink" Target="https://amzn.to/3uw3u3n" TargetMode="External"/><Relationship Id="rId51" Type="http://schemas.openxmlformats.org/officeDocument/2006/relationships/hyperlink" Target="https://amzn.to/3sgwPvL" TargetMode="External"/><Relationship Id="rId50" Type="http://schemas.openxmlformats.org/officeDocument/2006/relationships/hyperlink" Target="https://iherb.co/eaPUwCQ" TargetMode="External"/><Relationship Id="rId53" Type="http://schemas.openxmlformats.org/officeDocument/2006/relationships/hyperlink" Target="https://amzn.to/3AVwr9U" TargetMode="External"/><Relationship Id="rId52" Type="http://schemas.openxmlformats.org/officeDocument/2006/relationships/hyperlink" Target="https://iherb.co/EZDstcE" TargetMode="External"/><Relationship Id="rId55" Type="http://schemas.openxmlformats.org/officeDocument/2006/relationships/hyperlink" Target="https://amzn.to/3AXbriW" TargetMode="External"/><Relationship Id="rId54" Type="http://schemas.openxmlformats.org/officeDocument/2006/relationships/hyperlink" Target="https://iherb.co/QkgsWGP" TargetMode="External"/><Relationship Id="rId57" Type="http://schemas.openxmlformats.org/officeDocument/2006/relationships/hyperlink" Target="https://amzn.to/3l68Mg2" TargetMode="External"/><Relationship Id="rId56" Type="http://schemas.openxmlformats.org/officeDocument/2006/relationships/hyperlink" Target="https://iherb.co/44qVHxw" TargetMode="External"/><Relationship Id="rId59" Type="http://schemas.openxmlformats.org/officeDocument/2006/relationships/hyperlink" Target="https://amzn.to/34crBcC" TargetMode="External"/><Relationship Id="rId58" Type="http://schemas.openxmlformats.org/officeDocument/2006/relationships/hyperlink" Target="https://iherb.co/X5o4CR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3"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hyperlink" Target="https://docs.google.com/spreadsheets/d/1CsXdxywNEs2AsUu9ff_K9jhcTwYd-hI-izA3rOokUtA/edit?usp=sharing"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8.75"/>
    <col customWidth="1" min="2" max="17" width="8.88"/>
  </cols>
  <sheetData>
    <row r="1">
      <c r="A1" s="1" t="s">
        <v>0</v>
      </c>
      <c r="B1" s="2" t="s">
        <v>1</v>
      </c>
      <c r="C1" s="3"/>
      <c r="D1" s="4" t="s">
        <v>2</v>
      </c>
      <c r="E1" s="5"/>
      <c r="F1" s="3"/>
      <c r="G1" s="6" t="s">
        <v>3</v>
      </c>
      <c r="H1" s="3"/>
      <c r="I1" s="7" t="s">
        <v>4</v>
      </c>
      <c r="J1" s="8" t="s">
        <v>5</v>
      </c>
      <c r="K1" s="3"/>
      <c r="L1" s="9" t="s">
        <v>6</v>
      </c>
      <c r="M1" s="10" t="s">
        <v>7</v>
      </c>
      <c r="N1" s="11" t="s">
        <v>8</v>
      </c>
      <c r="O1" s="3"/>
      <c r="P1" s="2" t="s">
        <v>9</v>
      </c>
      <c r="Q1" s="5"/>
    </row>
    <row r="2">
      <c r="A2" s="12" t="s">
        <v>10</v>
      </c>
      <c r="B2" s="13">
        <f>'AM Unbalanced PMR Recipe Report'!$I$56</f>
        <v>220</v>
      </c>
      <c r="C2" s="14" t="s">
        <v>11</v>
      </c>
      <c r="D2" s="15">
        <v>450.0</v>
      </c>
      <c r="E2" s="16" t="str">
        <f t="shared" ref="E2:E7" si="1">C2</f>
        <v>mcg</v>
      </c>
      <c r="F2" s="17" t="str">
        <f t="shared" ref="F2:F8" si="2">Q2</f>
        <v>SCOOP</v>
      </c>
      <c r="G2" s="18">
        <f t="shared" ref="G2:G39" si="3">sum(B2*I2)/D2</f>
        <v>0.4888888889</v>
      </c>
      <c r="H2" s="17" t="str">
        <f t="shared" ref="H2:H9" si="4">F2</f>
        <v>SCOOP</v>
      </c>
      <c r="I2" s="19">
        <v>1.0</v>
      </c>
      <c r="J2" s="20">
        <v>13.6</v>
      </c>
      <c r="K2" s="14" t="s">
        <v>12</v>
      </c>
      <c r="L2" s="21" t="s">
        <v>13</v>
      </c>
      <c r="M2" s="22" t="s">
        <v>13</v>
      </c>
      <c r="N2" s="23">
        <v>7.8</v>
      </c>
      <c r="O2" s="24" t="s">
        <v>12</v>
      </c>
      <c r="P2" s="25">
        <v>2522.0</v>
      </c>
      <c r="Q2" s="26" t="s">
        <v>14</v>
      </c>
    </row>
    <row r="3">
      <c r="A3" s="27" t="s">
        <v>15</v>
      </c>
      <c r="B3" s="28">
        <f>'AM Unbalanced PMR Recipe Report'!$I$56</f>
        <v>220</v>
      </c>
      <c r="C3" s="29" t="s">
        <v>11</v>
      </c>
      <c r="D3" s="30">
        <v>3120.0</v>
      </c>
      <c r="E3" s="31" t="str">
        <f t="shared" si="1"/>
        <v>mcg</v>
      </c>
      <c r="F3" s="31" t="str">
        <f t="shared" si="2"/>
        <v>TSP</v>
      </c>
      <c r="G3" s="32">
        <f t="shared" si="3"/>
        <v>0.07051282051</v>
      </c>
      <c r="H3" s="31" t="str">
        <f t="shared" si="4"/>
        <v>TSP</v>
      </c>
      <c r="I3" s="33">
        <v>1.0</v>
      </c>
      <c r="J3" s="34">
        <v>7.99</v>
      </c>
      <c r="K3" s="29" t="s">
        <v>12</v>
      </c>
      <c r="L3" s="35" t="s">
        <v>13</v>
      </c>
      <c r="M3" s="36" t="s">
        <v>16</v>
      </c>
      <c r="N3" s="37"/>
      <c r="O3" s="29"/>
      <c r="P3" s="38">
        <v>113.5</v>
      </c>
      <c r="Q3" s="39" t="s">
        <v>17</v>
      </c>
    </row>
    <row r="4">
      <c r="A4" s="12" t="s">
        <v>18</v>
      </c>
      <c r="B4" s="13">
        <f>'AM Unbalanced PMR Recipe Report'!$I$56</f>
        <v>220</v>
      </c>
      <c r="C4" s="14" t="s">
        <v>11</v>
      </c>
      <c r="D4" s="15">
        <v>200.0</v>
      </c>
      <c r="E4" s="16" t="str">
        <f t="shared" si="1"/>
        <v>mcg</v>
      </c>
      <c r="F4" s="17" t="str">
        <f t="shared" si="2"/>
        <v>PILL</v>
      </c>
      <c r="G4" s="18">
        <f t="shared" si="3"/>
        <v>1.1</v>
      </c>
      <c r="H4" s="17" t="str">
        <f t="shared" si="4"/>
        <v>PILL</v>
      </c>
      <c r="I4" s="19">
        <v>1.0</v>
      </c>
      <c r="J4" s="20">
        <v>14.2</v>
      </c>
      <c r="K4" s="14" t="s">
        <v>12</v>
      </c>
      <c r="L4" s="21" t="s">
        <v>13</v>
      </c>
      <c r="M4" s="40" t="s">
        <v>16</v>
      </c>
      <c r="N4" s="23"/>
      <c r="O4" s="24"/>
      <c r="P4" s="25">
        <v>100.0</v>
      </c>
      <c r="Q4" s="26" t="s">
        <v>19</v>
      </c>
    </row>
    <row r="5">
      <c r="A5" s="41" t="s">
        <v>20</v>
      </c>
      <c r="B5" s="42">
        <f>'AM Unbalanced PMR Recipe Report'!$I$56</f>
        <v>220</v>
      </c>
      <c r="C5" s="43" t="s">
        <v>11</v>
      </c>
      <c r="D5" s="44">
        <v>125.0</v>
      </c>
      <c r="E5" s="45" t="str">
        <f t="shared" si="1"/>
        <v>mcg</v>
      </c>
      <c r="F5" s="46" t="str">
        <f t="shared" si="2"/>
        <v>DROP</v>
      </c>
      <c r="G5" s="47">
        <f t="shared" si="3"/>
        <v>1.76</v>
      </c>
      <c r="H5" s="46" t="str">
        <f t="shared" si="4"/>
        <v>DROP</v>
      </c>
      <c r="I5" s="48">
        <v>1.0</v>
      </c>
      <c r="J5" s="49">
        <v>19.95</v>
      </c>
      <c r="K5" s="43" t="s">
        <v>12</v>
      </c>
      <c r="L5" s="50" t="s">
        <v>13</v>
      </c>
      <c r="M5" s="51" t="s">
        <v>13</v>
      </c>
      <c r="N5" s="52">
        <v>21.95</v>
      </c>
      <c r="O5" s="53" t="s">
        <v>12</v>
      </c>
      <c r="P5" s="54">
        <v>450.0</v>
      </c>
      <c r="Q5" s="55" t="s">
        <v>21</v>
      </c>
    </row>
    <row r="6">
      <c r="A6" s="12" t="s">
        <v>22</v>
      </c>
      <c r="B6" s="13">
        <f>'AM Unbalanced PMR Recipe Report'!$I$56</f>
        <v>220</v>
      </c>
      <c r="C6" s="14" t="s">
        <v>11</v>
      </c>
      <c r="D6" s="15">
        <v>150.0</v>
      </c>
      <c r="E6" s="16" t="str">
        <f t="shared" si="1"/>
        <v>mcg</v>
      </c>
      <c r="F6" s="17" t="str">
        <f t="shared" si="2"/>
        <v>PILL</v>
      </c>
      <c r="G6" s="18">
        <f t="shared" si="3"/>
        <v>1.466666667</v>
      </c>
      <c r="H6" s="17" t="str">
        <f t="shared" si="4"/>
        <v>PILL</v>
      </c>
      <c r="I6" s="19">
        <v>1.0</v>
      </c>
      <c r="J6" s="20">
        <v>12.43</v>
      </c>
      <c r="K6" s="14" t="s">
        <v>12</v>
      </c>
      <c r="L6" s="21" t="s">
        <v>13</v>
      </c>
      <c r="M6" s="22" t="s">
        <v>13</v>
      </c>
      <c r="N6" s="23">
        <v>6.64</v>
      </c>
      <c r="O6" s="24" t="s">
        <v>12</v>
      </c>
      <c r="P6" s="25">
        <v>200.0</v>
      </c>
      <c r="Q6" s="26" t="s">
        <v>19</v>
      </c>
    </row>
    <row r="7">
      <c r="A7" s="41" t="s">
        <v>23</v>
      </c>
      <c r="B7" s="42">
        <f>'AM Unbalanced PMR Recipe Report'!$I$56</f>
        <v>220</v>
      </c>
      <c r="C7" s="43" t="s">
        <v>11</v>
      </c>
      <c r="D7" s="44">
        <v>3500.0</v>
      </c>
      <c r="E7" s="45" t="str">
        <f t="shared" si="1"/>
        <v>mcg</v>
      </c>
      <c r="F7" s="46" t="str">
        <f t="shared" si="2"/>
        <v>TSP</v>
      </c>
      <c r="G7" s="47">
        <f t="shared" si="3"/>
        <v>0.06285714286</v>
      </c>
      <c r="H7" s="46" t="str">
        <f t="shared" si="4"/>
        <v>TSP</v>
      </c>
      <c r="I7" s="48">
        <v>1.0</v>
      </c>
      <c r="J7" s="49">
        <v>11.99</v>
      </c>
      <c r="K7" s="43" t="s">
        <v>24</v>
      </c>
      <c r="L7" s="50" t="s">
        <v>13</v>
      </c>
      <c r="M7" s="51" t="s">
        <v>13</v>
      </c>
      <c r="N7" s="52">
        <v>7.42</v>
      </c>
      <c r="O7" s="53" t="s">
        <v>24</v>
      </c>
      <c r="P7" s="56">
        <f>SUM(16*28.35)/3</f>
        <v>151.2</v>
      </c>
      <c r="Q7" s="55" t="s">
        <v>17</v>
      </c>
    </row>
    <row r="8">
      <c r="A8" s="12" t="s">
        <v>25</v>
      </c>
      <c r="B8" s="13">
        <f>'AM Unbalanced PMR Recipe Report'!$I$32</f>
        <v>7.5</v>
      </c>
      <c r="C8" s="14" t="s">
        <v>26</v>
      </c>
      <c r="D8" s="15">
        <v>31.625</v>
      </c>
      <c r="E8" s="57" t="s">
        <v>27</v>
      </c>
      <c r="F8" s="17" t="str">
        <f t="shared" si="2"/>
        <v>DROP</v>
      </c>
      <c r="G8" s="18">
        <f t="shared" si="3"/>
        <v>0.2371541502</v>
      </c>
      <c r="H8" s="17" t="str">
        <f t="shared" si="4"/>
        <v>DROP</v>
      </c>
      <c r="I8" s="19">
        <v>1.0</v>
      </c>
      <c r="J8" s="20">
        <v>15.48</v>
      </c>
      <c r="K8" s="14" t="s">
        <v>12</v>
      </c>
      <c r="L8" s="21" t="s">
        <v>13</v>
      </c>
      <c r="M8" s="22" t="s">
        <v>13</v>
      </c>
      <c r="N8" s="23">
        <v>10.8</v>
      </c>
      <c r="O8" s="24" t="s">
        <v>12</v>
      </c>
      <c r="P8" s="25">
        <v>750.0</v>
      </c>
      <c r="Q8" s="26" t="s">
        <v>21</v>
      </c>
    </row>
    <row r="9">
      <c r="A9" s="41" t="s">
        <v>28</v>
      </c>
      <c r="B9" s="42">
        <f>'AM Unbalanced PMR Recipe Report'!$I$32</f>
        <v>7.5</v>
      </c>
      <c r="C9" s="43" t="s">
        <v>26</v>
      </c>
      <c r="D9" s="44">
        <v>8.0</v>
      </c>
      <c r="E9" s="58" t="s">
        <v>27</v>
      </c>
      <c r="F9" s="43" t="s">
        <v>21</v>
      </c>
      <c r="G9" s="47">
        <f t="shared" si="3"/>
        <v>0.9375</v>
      </c>
      <c r="H9" s="46" t="str">
        <f t="shared" si="4"/>
        <v>DROP</v>
      </c>
      <c r="I9" s="48">
        <v>1.0</v>
      </c>
      <c r="J9" s="49">
        <v>17.87</v>
      </c>
      <c r="K9" s="43" t="s">
        <v>12</v>
      </c>
      <c r="L9" s="50" t="s">
        <v>13</v>
      </c>
      <c r="M9" s="51" t="s">
        <v>13</v>
      </c>
      <c r="N9" s="52">
        <v>12.45</v>
      </c>
      <c r="O9" s="53" t="s">
        <v>12</v>
      </c>
      <c r="P9" s="54">
        <f>SUM(118/0.05)</f>
        <v>2360</v>
      </c>
      <c r="Q9" s="55" t="s">
        <v>21</v>
      </c>
    </row>
    <row r="10">
      <c r="A10" s="59" t="s">
        <v>29</v>
      </c>
      <c r="B10" s="60">
        <f>'AM Unbalanced PMR Recipe Report'!$I$32</f>
        <v>7.5</v>
      </c>
      <c r="C10" s="61" t="s">
        <v>26</v>
      </c>
      <c r="D10" s="62">
        <v>400.0</v>
      </c>
      <c r="E10" s="61" t="s">
        <v>27</v>
      </c>
      <c r="F10" s="61" t="s">
        <v>19</v>
      </c>
      <c r="G10" s="63">
        <f t="shared" si="3"/>
        <v>0.01875</v>
      </c>
      <c r="H10" s="64" t="s">
        <v>19</v>
      </c>
      <c r="I10" s="65">
        <v>1.0</v>
      </c>
      <c r="J10" s="66">
        <v>13.81</v>
      </c>
      <c r="K10" s="61" t="s">
        <v>12</v>
      </c>
      <c r="L10" s="67" t="s">
        <v>13</v>
      </c>
      <c r="M10" s="68" t="s">
        <v>13</v>
      </c>
      <c r="N10" s="69">
        <v>11.23</v>
      </c>
      <c r="O10" s="70" t="s">
        <v>12</v>
      </c>
      <c r="P10" s="71">
        <v>100.0</v>
      </c>
      <c r="Q10" s="61" t="s">
        <v>19</v>
      </c>
    </row>
    <row r="11">
      <c r="A11" s="41" t="s">
        <v>30</v>
      </c>
      <c r="B11" s="42">
        <f>'AM Unbalanced PMR Recipe Report'!$I$32</f>
        <v>7.5</v>
      </c>
      <c r="C11" s="43" t="s">
        <v>26</v>
      </c>
      <c r="D11" s="44">
        <v>100.0</v>
      </c>
      <c r="E11" s="58" t="s">
        <v>27</v>
      </c>
      <c r="F11" s="46" t="str">
        <f>Q11</f>
        <v>PILL</v>
      </c>
      <c r="G11" s="47">
        <f t="shared" si="3"/>
        <v>0.075</v>
      </c>
      <c r="H11" s="43" t="s">
        <v>19</v>
      </c>
      <c r="I11" s="48">
        <v>1.0</v>
      </c>
      <c r="J11" s="49">
        <v>8.99</v>
      </c>
      <c r="K11" s="43" t="s">
        <v>12</v>
      </c>
      <c r="L11" s="50" t="s">
        <v>13</v>
      </c>
      <c r="M11" s="51" t="s">
        <v>13</v>
      </c>
      <c r="N11" s="52">
        <v>7.5</v>
      </c>
      <c r="O11" s="53" t="s">
        <v>12</v>
      </c>
      <c r="P11" s="54">
        <v>100.0</v>
      </c>
      <c r="Q11" s="55" t="s">
        <v>19</v>
      </c>
    </row>
    <row r="12">
      <c r="A12" s="12" t="s">
        <v>31</v>
      </c>
      <c r="B12" s="13">
        <f>'AM Unbalanced PMR Recipe Report'!$I$32</f>
        <v>7.5</v>
      </c>
      <c r="C12" s="14" t="s">
        <v>26</v>
      </c>
      <c r="D12" s="15">
        <v>200.0</v>
      </c>
      <c r="E12" s="57" t="s">
        <v>27</v>
      </c>
      <c r="F12" s="14" t="s">
        <v>19</v>
      </c>
      <c r="G12" s="18">
        <f t="shared" si="3"/>
        <v>0.0375</v>
      </c>
      <c r="H12" s="14" t="s">
        <v>19</v>
      </c>
      <c r="I12" s="19">
        <v>1.0</v>
      </c>
      <c r="J12" s="20">
        <v>10.42</v>
      </c>
      <c r="K12" s="14" t="s">
        <v>12</v>
      </c>
      <c r="L12" s="21" t="s">
        <v>13</v>
      </c>
      <c r="M12" s="22" t="s">
        <v>13</v>
      </c>
      <c r="N12" s="23">
        <v>11.3</v>
      </c>
      <c r="O12" s="24" t="s">
        <v>12</v>
      </c>
      <c r="P12" s="25">
        <v>100.0</v>
      </c>
      <c r="Q12" s="26" t="s">
        <v>19</v>
      </c>
    </row>
    <row r="13">
      <c r="A13" s="41" t="s">
        <v>32</v>
      </c>
      <c r="B13" s="42">
        <f>'AM Unbalanced PMR Recipe Report'!$I$32</f>
        <v>7.5</v>
      </c>
      <c r="C13" s="43" t="s">
        <v>26</v>
      </c>
      <c r="D13" s="44">
        <v>400.0</v>
      </c>
      <c r="E13" s="58" t="s">
        <v>27</v>
      </c>
      <c r="F13" s="43" t="s">
        <v>19</v>
      </c>
      <c r="G13" s="47">
        <f t="shared" si="3"/>
        <v>0.01875</v>
      </c>
      <c r="H13" s="43" t="s">
        <v>19</v>
      </c>
      <c r="I13" s="48">
        <v>1.0</v>
      </c>
      <c r="J13" s="49">
        <v>13.75</v>
      </c>
      <c r="K13" s="43" t="s">
        <v>12</v>
      </c>
      <c r="L13" s="50" t="s">
        <v>13</v>
      </c>
      <c r="M13" s="51" t="s">
        <v>13</v>
      </c>
      <c r="N13" s="52">
        <v>14.9</v>
      </c>
      <c r="O13" s="53" t="s">
        <v>12</v>
      </c>
      <c r="P13" s="54">
        <v>100.0</v>
      </c>
      <c r="Q13" s="55" t="s">
        <v>19</v>
      </c>
    </row>
    <row r="14">
      <c r="A14" s="12" t="s">
        <v>33</v>
      </c>
      <c r="B14" s="13">
        <f>'AM Unbalanced PMR Recipe Report'!$I$32</f>
        <v>7.5</v>
      </c>
      <c r="C14" s="14" t="s">
        <v>26</v>
      </c>
      <c r="D14" s="15">
        <v>14.9</v>
      </c>
      <c r="E14" s="57" t="s">
        <v>27</v>
      </c>
      <c r="F14" s="17" t="str">
        <f>Q14</f>
        <v>DROP</v>
      </c>
      <c r="G14" s="18">
        <f t="shared" si="3"/>
        <v>0.5033557047</v>
      </c>
      <c r="H14" s="17" t="str">
        <f t="shared" ref="H14:H31" si="5">F14</f>
        <v>DROP</v>
      </c>
      <c r="I14" s="19">
        <v>1.0</v>
      </c>
      <c r="J14" s="20">
        <v>14.2</v>
      </c>
      <c r="K14" s="14" t="s">
        <v>12</v>
      </c>
      <c r="L14" s="21" t="s">
        <v>13</v>
      </c>
      <c r="M14" s="40" t="s">
        <v>16</v>
      </c>
      <c r="N14" s="23"/>
      <c r="O14" s="24"/>
      <c r="P14" s="25">
        <v>590.0</v>
      </c>
      <c r="Q14" s="26" t="s">
        <v>21</v>
      </c>
    </row>
    <row r="15">
      <c r="A15" s="72" t="s">
        <v>34</v>
      </c>
      <c r="B15" s="56"/>
      <c r="C15" s="43" t="s">
        <v>26</v>
      </c>
      <c r="D15" s="44">
        <v>12.06</v>
      </c>
      <c r="E15" s="58" t="s">
        <v>27</v>
      </c>
      <c r="F15" s="43" t="s">
        <v>21</v>
      </c>
      <c r="G15" s="47">
        <f t="shared" si="3"/>
        <v>0</v>
      </c>
      <c r="H15" s="46" t="str">
        <f t="shared" si="5"/>
        <v>DROP</v>
      </c>
      <c r="I15" s="48">
        <v>1.0</v>
      </c>
      <c r="J15" s="73">
        <v>14.37</v>
      </c>
      <c r="K15" s="43" t="s">
        <v>12</v>
      </c>
      <c r="L15" s="74" t="s">
        <v>13</v>
      </c>
      <c r="M15" s="51" t="s">
        <v>13</v>
      </c>
      <c r="N15" s="52">
        <v>17.0</v>
      </c>
      <c r="O15" s="53" t="s">
        <v>12</v>
      </c>
      <c r="P15" s="54">
        <v>2360.0</v>
      </c>
      <c r="Q15" s="55" t="s">
        <v>21</v>
      </c>
    </row>
    <row r="16">
      <c r="A16" s="75" t="s">
        <v>35</v>
      </c>
      <c r="B16" s="76">
        <f>'AM Unbalanced PMR Recipe Report'!$I$26</f>
        <v>0.11</v>
      </c>
      <c r="C16" s="14" t="s">
        <v>36</v>
      </c>
      <c r="D16" s="77">
        <f>sum(2564/1000)</f>
        <v>2.564</v>
      </c>
      <c r="E16" s="57" t="s">
        <v>36</v>
      </c>
      <c r="F16" s="17" t="str">
        <f t="shared" ref="F16:F31" si="6">Q16</f>
        <v>TSP</v>
      </c>
      <c r="G16" s="18">
        <f t="shared" si="3"/>
        <v>0.04290171607</v>
      </c>
      <c r="H16" s="17" t="str">
        <f t="shared" si="5"/>
        <v>TSP</v>
      </c>
      <c r="I16" s="19">
        <v>1.0</v>
      </c>
      <c r="J16" s="78">
        <v>13.43</v>
      </c>
      <c r="K16" s="17" t="s">
        <v>12</v>
      </c>
      <c r="L16" s="79" t="s">
        <v>13</v>
      </c>
      <c r="M16" s="22" t="s">
        <v>13</v>
      </c>
      <c r="N16" s="23">
        <v>13.55</v>
      </c>
      <c r="O16" s="24" t="s">
        <v>12</v>
      </c>
      <c r="P16" s="25">
        <v>51.0</v>
      </c>
      <c r="Q16" s="26" t="s">
        <v>17</v>
      </c>
    </row>
    <row r="17">
      <c r="A17" s="72" t="s">
        <v>37</v>
      </c>
      <c r="B17" s="80">
        <f>'AM Unbalanced PMR Recipe Report'!$I$26</f>
        <v>0.11</v>
      </c>
      <c r="C17" s="43" t="s">
        <v>36</v>
      </c>
      <c r="D17" s="81">
        <f>sum((7640)/3)/1000</f>
        <v>2.546666667</v>
      </c>
      <c r="E17" s="45" t="str">
        <f t="shared" ref="E17:E31" si="7">C17</f>
        <v>g</v>
      </c>
      <c r="F17" s="46" t="str">
        <f t="shared" si="6"/>
        <v>TSP</v>
      </c>
      <c r="G17" s="47">
        <f t="shared" si="3"/>
        <v>0.04319371728</v>
      </c>
      <c r="H17" s="46" t="str">
        <f t="shared" si="5"/>
        <v>TSP</v>
      </c>
      <c r="I17" s="48">
        <v>1.0</v>
      </c>
      <c r="J17" s="82">
        <v>15.19</v>
      </c>
      <c r="K17" s="46" t="s">
        <v>12</v>
      </c>
      <c r="L17" s="74" t="s">
        <v>13</v>
      </c>
      <c r="M17" s="51" t="s">
        <v>13</v>
      </c>
      <c r="N17" s="52">
        <v>10.13</v>
      </c>
      <c r="O17" s="53" t="s">
        <v>12</v>
      </c>
      <c r="P17" s="54">
        <v>96.0</v>
      </c>
      <c r="Q17" s="55" t="s">
        <v>17</v>
      </c>
    </row>
    <row r="18">
      <c r="A18" s="75" t="s">
        <v>38</v>
      </c>
      <c r="B18" s="76">
        <f>'AM Unbalanced PMR Recipe Report'!$I$26</f>
        <v>0.11</v>
      </c>
      <c r="C18" s="14" t="s">
        <v>36</v>
      </c>
      <c r="D18" s="77">
        <f>sum(8.68)/100</f>
        <v>0.0868</v>
      </c>
      <c r="E18" s="16" t="str">
        <f t="shared" si="7"/>
        <v>g</v>
      </c>
      <c r="F18" s="17" t="str">
        <f t="shared" si="6"/>
        <v>G</v>
      </c>
      <c r="G18" s="18">
        <f t="shared" si="3"/>
        <v>1.267281106</v>
      </c>
      <c r="H18" s="17" t="str">
        <f t="shared" si="5"/>
        <v>G</v>
      </c>
      <c r="I18" s="19">
        <v>1.0</v>
      </c>
      <c r="J18" s="78">
        <v>14.82</v>
      </c>
      <c r="K18" s="83" t="s">
        <v>39</v>
      </c>
      <c r="L18" s="79" t="s">
        <v>13</v>
      </c>
      <c r="M18" s="22" t="s">
        <v>13</v>
      </c>
      <c r="N18" s="23">
        <v>12.72</v>
      </c>
      <c r="O18" s="24" t="s">
        <v>39</v>
      </c>
      <c r="P18" s="84">
        <f>SUM(24*28.35)</f>
        <v>680.4</v>
      </c>
      <c r="Q18" s="26" t="s">
        <v>40</v>
      </c>
    </row>
    <row r="19">
      <c r="A19" s="72" t="s">
        <v>41</v>
      </c>
      <c r="B19" s="80">
        <f>'AM Unbalanced PMR Recipe Report'!$I$26</f>
        <v>0.11</v>
      </c>
      <c r="C19" s="43" t="s">
        <v>36</v>
      </c>
      <c r="D19" s="81">
        <f>sum(17.8)/100</f>
        <v>0.178</v>
      </c>
      <c r="E19" s="45" t="str">
        <f t="shared" si="7"/>
        <v>g</v>
      </c>
      <c r="F19" s="46" t="str">
        <f t="shared" si="6"/>
        <v>G</v>
      </c>
      <c r="G19" s="47">
        <f t="shared" si="3"/>
        <v>0.6179775281</v>
      </c>
      <c r="H19" s="46" t="str">
        <f t="shared" si="5"/>
        <v>G</v>
      </c>
      <c r="I19" s="48">
        <v>1.0</v>
      </c>
      <c r="J19" s="73">
        <v>9.99</v>
      </c>
      <c r="K19" s="85" t="s">
        <v>24</v>
      </c>
      <c r="L19" s="74" t="s">
        <v>13</v>
      </c>
      <c r="M19" s="51" t="s">
        <v>13</v>
      </c>
      <c r="N19" s="52">
        <v>8.0</v>
      </c>
      <c r="O19" s="53" t="s">
        <v>24</v>
      </c>
      <c r="P19" s="56">
        <f>SUM(16*28.35)</f>
        <v>453.6</v>
      </c>
      <c r="Q19" s="55" t="s">
        <v>40</v>
      </c>
    </row>
    <row r="20">
      <c r="A20" s="75" t="s">
        <v>42</v>
      </c>
      <c r="B20" s="76">
        <f>'AM Unbalanced PMR Recipe Report'!$I$26</f>
        <v>0.11</v>
      </c>
      <c r="C20" s="14" t="s">
        <v>36</v>
      </c>
      <c r="D20" s="77">
        <f>sum(22.813)/100</f>
        <v>0.22813</v>
      </c>
      <c r="E20" s="16" t="str">
        <f t="shared" si="7"/>
        <v>g</v>
      </c>
      <c r="F20" s="17" t="str">
        <f t="shared" si="6"/>
        <v>G</v>
      </c>
      <c r="G20" s="18">
        <f t="shared" si="3"/>
        <v>0.4821812125</v>
      </c>
      <c r="H20" s="17" t="str">
        <f t="shared" si="5"/>
        <v>G</v>
      </c>
      <c r="I20" s="19">
        <v>1.0</v>
      </c>
      <c r="J20" s="78">
        <v>9.99</v>
      </c>
      <c r="K20" s="14" t="s">
        <v>43</v>
      </c>
      <c r="L20" s="79" t="s">
        <v>13</v>
      </c>
      <c r="M20" s="22" t="s">
        <v>13</v>
      </c>
      <c r="N20" s="23">
        <v>10.5</v>
      </c>
      <c r="O20" s="24" t="s">
        <v>43</v>
      </c>
      <c r="P20" s="84">
        <f>SUM((32*28.35))</f>
        <v>907.2</v>
      </c>
      <c r="Q20" s="26" t="s">
        <v>40</v>
      </c>
    </row>
    <row r="21">
      <c r="A21" s="72" t="s">
        <v>44</v>
      </c>
      <c r="B21" s="80">
        <f>'AM Unbalanced PMR Recipe Report'!$I$54</f>
        <v>1.2</v>
      </c>
      <c r="C21" s="43" t="s">
        <v>26</v>
      </c>
      <c r="D21" s="44">
        <v>8.0</v>
      </c>
      <c r="E21" s="45" t="str">
        <f t="shared" si="7"/>
        <v>mg</v>
      </c>
      <c r="F21" s="46" t="str">
        <f t="shared" si="6"/>
        <v>PILL</v>
      </c>
      <c r="G21" s="47">
        <f t="shared" si="3"/>
        <v>0.15</v>
      </c>
      <c r="H21" s="46" t="str">
        <f t="shared" si="5"/>
        <v>PILL</v>
      </c>
      <c r="I21" s="48">
        <v>1.0</v>
      </c>
      <c r="J21" s="73">
        <v>10.0</v>
      </c>
      <c r="K21" s="46" t="s">
        <v>12</v>
      </c>
      <c r="L21" s="74" t="s">
        <v>13</v>
      </c>
      <c r="M21" s="51" t="s">
        <v>13</v>
      </c>
      <c r="N21" s="52">
        <v>8.14</v>
      </c>
      <c r="O21" s="53" t="s">
        <v>12</v>
      </c>
      <c r="P21" s="54">
        <v>100.0</v>
      </c>
      <c r="Q21" s="55" t="s">
        <v>19</v>
      </c>
    </row>
    <row r="22">
      <c r="A22" s="75" t="s">
        <v>45</v>
      </c>
      <c r="B22" s="76">
        <f>'AM Unbalanced PMR Recipe Report'!$I$54</f>
        <v>1.2</v>
      </c>
      <c r="C22" s="14" t="s">
        <v>26</v>
      </c>
      <c r="D22" s="15">
        <v>10.0</v>
      </c>
      <c r="E22" s="16" t="str">
        <f t="shared" si="7"/>
        <v>mg</v>
      </c>
      <c r="F22" s="17" t="str">
        <f t="shared" si="6"/>
        <v>PILL</v>
      </c>
      <c r="G22" s="18">
        <f t="shared" si="3"/>
        <v>0.12</v>
      </c>
      <c r="H22" s="17" t="str">
        <f t="shared" si="5"/>
        <v>PILL</v>
      </c>
      <c r="I22" s="19">
        <v>1.0</v>
      </c>
      <c r="J22" s="78">
        <v>9.51</v>
      </c>
      <c r="K22" s="17" t="s">
        <v>12</v>
      </c>
      <c r="L22" s="79" t="s">
        <v>13</v>
      </c>
      <c r="M22" s="22" t="s">
        <v>13</v>
      </c>
      <c r="N22" s="23">
        <v>10.36</v>
      </c>
      <c r="O22" s="24" t="s">
        <v>12</v>
      </c>
      <c r="P22" s="25">
        <v>90.0</v>
      </c>
      <c r="Q22" s="26" t="s">
        <v>19</v>
      </c>
    </row>
    <row r="23">
      <c r="A23" s="86" t="s">
        <v>46</v>
      </c>
      <c r="B23" s="80">
        <f>'AM Unbalanced PMR Recipe Report'!$I$54</f>
        <v>1.2</v>
      </c>
      <c r="C23" s="43" t="s">
        <v>26</v>
      </c>
      <c r="D23" s="44">
        <f>sum(10/25)</f>
        <v>0.4</v>
      </c>
      <c r="E23" s="45" t="str">
        <f t="shared" si="7"/>
        <v>mg</v>
      </c>
      <c r="F23" s="46" t="str">
        <f t="shared" si="6"/>
        <v>DROP</v>
      </c>
      <c r="G23" s="47">
        <f t="shared" si="3"/>
        <v>3</v>
      </c>
      <c r="H23" s="46" t="str">
        <f t="shared" si="5"/>
        <v>DROP</v>
      </c>
      <c r="I23" s="48">
        <v>1.0</v>
      </c>
      <c r="J23" s="73">
        <v>14.21</v>
      </c>
      <c r="K23" s="46" t="s">
        <v>12</v>
      </c>
      <c r="L23" s="87" t="s">
        <v>13</v>
      </c>
      <c r="M23" s="36" t="s">
        <v>16</v>
      </c>
      <c r="N23" s="52"/>
      <c r="O23" s="53"/>
      <c r="P23" s="54">
        <v>1200.0</v>
      </c>
      <c r="Q23" s="55" t="s">
        <v>21</v>
      </c>
    </row>
    <row r="24">
      <c r="A24" s="75" t="s">
        <v>47</v>
      </c>
      <c r="B24" s="76">
        <f>'AM Unbalanced PMR Recipe Report'!$I$53</f>
        <v>15</v>
      </c>
      <c r="C24" s="14" t="s">
        <v>26</v>
      </c>
      <c r="D24" s="15">
        <v>15.0</v>
      </c>
      <c r="E24" s="16" t="str">
        <f t="shared" si="7"/>
        <v>mg</v>
      </c>
      <c r="F24" s="17" t="str">
        <f t="shared" si="6"/>
        <v>PILL</v>
      </c>
      <c r="G24" s="18">
        <f t="shared" si="3"/>
        <v>1</v>
      </c>
      <c r="H24" s="17" t="str">
        <f t="shared" si="5"/>
        <v>PILL</v>
      </c>
      <c r="I24" s="19">
        <v>1.0</v>
      </c>
      <c r="J24" s="78">
        <v>11.0</v>
      </c>
      <c r="K24" s="17" t="s">
        <v>12</v>
      </c>
      <c r="L24" s="79" t="s">
        <v>13</v>
      </c>
      <c r="M24" s="22" t="s">
        <v>13</v>
      </c>
      <c r="N24" s="23">
        <v>11.0</v>
      </c>
      <c r="O24" s="24" t="s">
        <v>12</v>
      </c>
      <c r="P24" s="25">
        <v>60.0</v>
      </c>
      <c r="Q24" s="26" t="s">
        <v>19</v>
      </c>
    </row>
    <row r="25">
      <c r="A25" s="72" t="s">
        <v>48</v>
      </c>
      <c r="B25" s="80">
        <f>'AM Unbalanced PMR Recipe Report'!$I$53</f>
        <v>15</v>
      </c>
      <c r="C25" s="43" t="s">
        <v>26</v>
      </c>
      <c r="D25" s="44">
        <v>22.0</v>
      </c>
      <c r="E25" s="45" t="str">
        <f t="shared" si="7"/>
        <v>mg</v>
      </c>
      <c r="F25" s="46" t="str">
        <f t="shared" si="6"/>
        <v>PILL</v>
      </c>
      <c r="G25" s="47">
        <f t="shared" si="3"/>
        <v>0.6818181818</v>
      </c>
      <c r="H25" s="46" t="str">
        <f t="shared" si="5"/>
        <v>PILL</v>
      </c>
      <c r="I25" s="48">
        <v>1.0</v>
      </c>
      <c r="J25" s="73">
        <v>8.24</v>
      </c>
      <c r="K25" s="46" t="s">
        <v>12</v>
      </c>
      <c r="L25" s="74" t="s">
        <v>13</v>
      </c>
      <c r="M25" s="51" t="s">
        <v>13</v>
      </c>
      <c r="N25" s="52">
        <v>9.06</v>
      </c>
      <c r="O25" s="53" t="s">
        <v>12</v>
      </c>
      <c r="P25" s="54">
        <v>100.0</v>
      </c>
      <c r="Q25" s="55" t="s">
        <v>19</v>
      </c>
    </row>
    <row r="26">
      <c r="A26" s="75" t="s">
        <v>49</v>
      </c>
      <c r="B26" s="76">
        <f>'AM Unbalanced PMR Recipe Report'!$I$53</f>
        <v>15</v>
      </c>
      <c r="C26" s="14" t="s">
        <v>26</v>
      </c>
      <c r="D26" s="15">
        <v>30.0</v>
      </c>
      <c r="E26" s="16" t="str">
        <f t="shared" si="7"/>
        <v>mg</v>
      </c>
      <c r="F26" s="17" t="str">
        <f t="shared" si="6"/>
        <v>PILL</v>
      </c>
      <c r="G26" s="18">
        <f t="shared" si="3"/>
        <v>0.5</v>
      </c>
      <c r="H26" s="17" t="str">
        <f t="shared" si="5"/>
        <v>PILL</v>
      </c>
      <c r="I26" s="19">
        <v>1.0</v>
      </c>
      <c r="J26" s="78">
        <v>16.0</v>
      </c>
      <c r="K26" s="17" t="s">
        <v>12</v>
      </c>
      <c r="L26" s="79" t="s">
        <v>13</v>
      </c>
      <c r="M26" s="22" t="s">
        <v>13</v>
      </c>
      <c r="N26" s="23">
        <v>17.0</v>
      </c>
      <c r="O26" s="24" t="s">
        <v>12</v>
      </c>
      <c r="P26" s="25">
        <v>60.0</v>
      </c>
      <c r="Q26" s="26" t="s">
        <v>19</v>
      </c>
    </row>
    <row r="27">
      <c r="A27" s="72" t="s">
        <v>50</v>
      </c>
      <c r="B27" s="80">
        <f>'AM Unbalanced PMR Recipe Report'!$I$53</f>
        <v>15</v>
      </c>
      <c r="C27" s="43" t="s">
        <v>26</v>
      </c>
      <c r="D27" s="44">
        <v>50.0</v>
      </c>
      <c r="E27" s="45" t="str">
        <f t="shared" si="7"/>
        <v>mg</v>
      </c>
      <c r="F27" s="46" t="str">
        <f t="shared" si="6"/>
        <v>PILL</v>
      </c>
      <c r="G27" s="47">
        <f t="shared" si="3"/>
        <v>0.3</v>
      </c>
      <c r="H27" s="46" t="str">
        <f t="shared" si="5"/>
        <v>PILL</v>
      </c>
      <c r="I27" s="48">
        <v>1.0</v>
      </c>
      <c r="J27" s="73">
        <v>14.99</v>
      </c>
      <c r="K27" s="46" t="s">
        <v>12</v>
      </c>
      <c r="L27" s="74" t="s">
        <v>13</v>
      </c>
      <c r="M27" s="51" t="s">
        <v>13</v>
      </c>
      <c r="N27" s="52">
        <v>8.79</v>
      </c>
      <c r="O27" s="53" t="s">
        <v>12</v>
      </c>
      <c r="P27" s="54">
        <v>120.0</v>
      </c>
      <c r="Q27" s="55" t="s">
        <v>19</v>
      </c>
    </row>
    <row r="28">
      <c r="A28" s="88" t="s">
        <v>51</v>
      </c>
      <c r="B28" s="76">
        <f>'AM Unbalanced PMR Recipe Report'!$I$53</f>
        <v>15</v>
      </c>
      <c r="C28" s="14" t="s">
        <v>26</v>
      </c>
      <c r="D28" s="15">
        <f>sum(50/(1.25/0.05))</f>
        <v>2</v>
      </c>
      <c r="E28" s="16" t="str">
        <f t="shared" si="7"/>
        <v>mg</v>
      </c>
      <c r="F28" s="17" t="str">
        <f t="shared" si="6"/>
        <v>DROP</v>
      </c>
      <c r="G28" s="18">
        <f t="shared" si="3"/>
        <v>7.5</v>
      </c>
      <c r="H28" s="17" t="str">
        <f t="shared" si="5"/>
        <v>DROP</v>
      </c>
      <c r="I28" s="19">
        <v>1.0</v>
      </c>
      <c r="J28" s="78">
        <v>9.99</v>
      </c>
      <c r="K28" s="14" t="s">
        <v>12</v>
      </c>
      <c r="L28" s="89" t="s">
        <v>13</v>
      </c>
      <c r="M28" s="22" t="s">
        <v>13</v>
      </c>
      <c r="N28" s="23">
        <v>9.31</v>
      </c>
      <c r="O28" s="24" t="s">
        <v>12</v>
      </c>
      <c r="P28" s="25">
        <v>1200.0</v>
      </c>
      <c r="Q28" s="26" t="s">
        <v>21</v>
      </c>
    </row>
    <row r="29">
      <c r="A29" s="72" t="s">
        <v>52</v>
      </c>
      <c r="B29" s="80">
        <f>'AM Unbalanced PMR Recipe Report'!$I$31</f>
        <v>3.4</v>
      </c>
      <c r="C29" s="43" t="s">
        <v>11</v>
      </c>
      <c r="D29" s="44">
        <f>sum(10/4)</f>
        <v>2.5</v>
      </c>
      <c r="E29" s="45" t="str">
        <f t="shared" si="7"/>
        <v>mcg</v>
      </c>
      <c r="F29" s="46" t="str">
        <f t="shared" si="6"/>
        <v>DROP</v>
      </c>
      <c r="G29" s="47">
        <f t="shared" si="3"/>
        <v>1.36</v>
      </c>
      <c r="H29" s="46" t="str">
        <f t="shared" si="5"/>
        <v>DROP</v>
      </c>
      <c r="I29" s="48">
        <v>1.0</v>
      </c>
      <c r="J29" s="73">
        <v>7.99</v>
      </c>
      <c r="K29" s="46" t="s">
        <v>12</v>
      </c>
      <c r="L29" s="74" t="s">
        <v>13</v>
      </c>
      <c r="M29" s="51" t="s">
        <v>13</v>
      </c>
      <c r="N29" s="52">
        <v>5.74</v>
      </c>
      <c r="O29" s="53" t="s">
        <v>12</v>
      </c>
      <c r="P29" s="54">
        <v>2108.0</v>
      </c>
      <c r="Q29" s="55" t="s">
        <v>21</v>
      </c>
    </row>
    <row r="30">
      <c r="A30" s="75" t="s">
        <v>53</v>
      </c>
      <c r="B30" s="76">
        <f>'AM Unbalanced PMR Recipe Report'!$I$31</f>
        <v>3.4</v>
      </c>
      <c r="C30" s="14" t="s">
        <v>11</v>
      </c>
      <c r="D30" s="77">
        <f>sum(25/2)</f>
        <v>12.5</v>
      </c>
      <c r="E30" s="16" t="str">
        <f t="shared" si="7"/>
        <v>mcg</v>
      </c>
      <c r="F30" s="17" t="str">
        <f t="shared" si="6"/>
        <v>DROP</v>
      </c>
      <c r="G30" s="18">
        <f t="shared" si="3"/>
        <v>0.272</v>
      </c>
      <c r="H30" s="17" t="str">
        <f t="shared" si="5"/>
        <v>DROP</v>
      </c>
      <c r="I30" s="19">
        <v>1.0</v>
      </c>
      <c r="J30" s="78">
        <v>25.0</v>
      </c>
      <c r="K30" s="83" t="s">
        <v>12</v>
      </c>
      <c r="L30" s="79" t="s">
        <v>13</v>
      </c>
      <c r="M30" s="22" t="s">
        <v>13</v>
      </c>
      <c r="N30" s="23">
        <v>26.0</v>
      </c>
      <c r="O30" s="24" t="s">
        <v>12</v>
      </c>
      <c r="P30" s="25">
        <v>600.0</v>
      </c>
      <c r="Q30" s="26" t="s">
        <v>21</v>
      </c>
    </row>
    <row r="31">
      <c r="A31" s="72" t="s">
        <v>54</v>
      </c>
      <c r="B31" s="42">
        <f>'AM Unbalanced PMR Recipe Report'!$I$31</f>
        <v>3.4</v>
      </c>
      <c r="C31" s="43" t="s">
        <v>11</v>
      </c>
      <c r="D31" s="44">
        <v>10.0</v>
      </c>
      <c r="E31" s="45" t="str">
        <f t="shared" si="7"/>
        <v>mcg</v>
      </c>
      <c r="F31" s="46" t="str">
        <f t="shared" si="6"/>
        <v>TSP</v>
      </c>
      <c r="G31" s="47">
        <f t="shared" si="3"/>
        <v>0.34</v>
      </c>
      <c r="H31" s="46" t="str">
        <f t="shared" si="5"/>
        <v>TSP</v>
      </c>
      <c r="I31" s="48">
        <v>1.0</v>
      </c>
      <c r="J31" s="73">
        <v>39.92</v>
      </c>
      <c r="K31" s="85" t="s">
        <v>12</v>
      </c>
      <c r="L31" s="74" t="s">
        <v>13</v>
      </c>
      <c r="M31" s="51" t="s">
        <v>13</v>
      </c>
      <c r="N31" s="52">
        <v>39.92</v>
      </c>
      <c r="O31" s="53" t="s">
        <v>12</v>
      </c>
      <c r="P31" s="54">
        <v>100.0</v>
      </c>
      <c r="Q31" s="55" t="s">
        <v>17</v>
      </c>
    </row>
    <row r="32">
      <c r="A32" s="75" t="s">
        <v>55</v>
      </c>
      <c r="B32" s="84"/>
      <c r="C32" s="14" t="s">
        <v>11</v>
      </c>
      <c r="D32" s="15">
        <v>10.0</v>
      </c>
      <c r="E32" s="57" t="s">
        <v>11</v>
      </c>
      <c r="F32" s="14" t="s">
        <v>19</v>
      </c>
      <c r="G32" s="18">
        <f t="shared" si="3"/>
        <v>0</v>
      </c>
      <c r="H32" s="14" t="s">
        <v>19</v>
      </c>
      <c r="I32" s="19">
        <v>1.0</v>
      </c>
      <c r="J32" s="78">
        <v>15.89</v>
      </c>
      <c r="K32" s="14" t="s">
        <v>12</v>
      </c>
      <c r="L32" s="79" t="s">
        <v>13</v>
      </c>
      <c r="M32" s="22" t="s">
        <v>13</v>
      </c>
      <c r="N32" s="23">
        <v>14.95</v>
      </c>
      <c r="O32" s="24" t="s">
        <v>12</v>
      </c>
      <c r="P32" s="25">
        <v>180.0</v>
      </c>
      <c r="Q32" s="26" t="s">
        <v>19</v>
      </c>
    </row>
    <row r="33">
      <c r="A33" s="72" t="s">
        <v>56</v>
      </c>
      <c r="B33" s="80">
        <f>'AM Unbalanced PMR Recipe Report'!$I$51</f>
        <v>7.5</v>
      </c>
      <c r="C33" s="43" t="s">
        <v>26</v>
      </c>
      <c r="D33" s="44">
        <v>25.0</v>
      </c>
      <c r="E33" s="45" t="str">
        <f t="shared" ref="E33:E39" si="8">C33</f>
        <v>mg</v>
      </c>
      <c r="F33" s="46" t="str">
        <f>Q33</f>
        <v>PILL</v>
      </c>
      <c r="G33" s="47">
        <f t="shared" si="3"/>
        <v>0.3</v>
      </c>
      <c r="H33" s="46" t="str">
        <f t="shared" ref="H33:H39" si="9">F33</f>
        <v>PILL</v>
      </c>
      <c r="I33" s="48">
        <v>1.0</v>
      </c>
      <c r="J33" s="73">
        <v>16.12</v>
      </c>
      <c r="K33" s="85" t="s">
        <v>12</v>
      </c>
      <c r="L33" s="74" t="s">
        <v>13</v>
      </c>
      <c r="M33" s="51" t="s">
        <v>13</v>
      </c>
      <c r="N33" s="52">
        <v>17.97</v>
      </c>
      <c r="O33" s="53" t="s">
        <v>12</v>
      </c>
      <c r="P33" s="54">
        <v>180.0</v>
      </c>
      <c r="Q33" s="55" t="s">
        <v>19</v>
      </c>
    </row>
    <row r="34">
      <c r="A34" s="90" t="s">
        <v>57</v>
      </c>
      <c r="B34" s="76">
        <f>'AM Unbalanced PMR Recipe Report'!$I$51</f>
        <v>7.5</v>
      </c>
      <c r="C34" s="14" t="s">
        <v>26</v>
      </c>
      <c r="D34" s="15">
        <f>sum(22/(1.2/0.05))</f>
        <v>0.9166666667</v>
      </c>
      <c r="E34" s="16" t="str">
        <f t="shared" si="8"/>
        <v>mg</v>
      </c>
      <c r="F34" s="14" t="s">
        <v>21</v>
      </c>
      <c r="G34" s="18">
        <f t="shared" si="3"/>
        <v>8.181818182</v>
      </c>
      <c r="H34" s="17" t="str">
        <f t="shared" si="9"/>
        <v>DROP</v>
      </c>
      <c r="I34" s="19">
        <v>1.0</v>
      </c>
      <c r="J34" s="78">
        <v>11.12</v>
      </c>
      <c r="K34" s="83" t="s">
        <v>12</v>
      </c>
      <c r="L34" s="79" t="s">
        <v>13</v>
      </c>
      <c r="M34" s="22" t="s">
        <v>13</v>
      </c>
      <c r="N34" s="23">
        <v>10.98</v>
      </c>
      <c r="O34" s="24" t="s">
        <v>12</v>
      </c>
      <c r="P34" s="25">
        <f>sum((1.2*46)/0.05)</f>
        <v>1104</v>
      </c>
      <c r="Q34" s="26" t="s">
        <v>58</v>
      </c>
    </row>
    <row r="35">
      <c r="A35" s="91" t="s">
        <v>59</v>
      </c>
      <c r="B35" s="28">
        <f>'AM Unbalanced PMR Recipe Report'!$I$51</f>
        <v>7.5</v>
      </c>
      <c r="C35" s="29" t="s">
        <v>26</v>
      </c>
      <c r="D35" s="30">
        <v>18.0</v>
      </c>
      <c r="E35" s="31" t="str">
        <f t="shared" si="8"/>
        <v>mg</v>
      </c>
      <c r="F35" s="31" t="str">
        <f t="shared" ref="F35:F39" si="10">Q35</f>
        <v>PILL</v>
      </c>
      <c r="G35" s="32">
        <f t="shared" si="3"/>
        <v>0.4166666667</v>
      </c>
      <c r="H35" s="31" t="str">
        <f t="shared" si="9"/>
        <v>PILL</v>
      </c>
      <c r="I35" s="33">
        <v>1.0</v>
      </c>
      <c r="J35" s="92">
        <v>7.83</v>
      </c>
      <c r="K35" s="31" t="s">
        <v>12</v>
      </c>
      <c r="L35" s="93" t="s">
        <v>13</v>
      </c>
      <c r="M35" s="94" t="s">
        <v>13</v>
      </c>
      <c r="N35" s="95">
        <v>5.82</v>
      </c>
      <c r="O35" s="53" t="s">
        <v>12</v>
      </c>
      <c r="P35" s="38">
        <v>120.0</v>
      </c>
      <c r="Q35" s="39" t="s">
        <v>19</v>
      </c>
    </row>
    <row r="36">
      <c r="A36" s="75" t="s">
        <v>60</v>
      </c>
      <c r="B36" s="76">
        <f>'AM Unbalanced PMR Recipe Report'!$I$51</f>
        <v>7.5</v>
      </c>
      <c r="C36" s="14" t="s">
        <v>26</v>
      </c>
      <c r="D36" s="15">
        <v>25.0</v>
      </c>
      <c r="E36" s="16" t="str">
        <f t="shared" si="8"/>
        <v>mg</v>
      </c>
      <c r="F36" s="17" t="str">
        <f t="shared" si="10"/>
        <v>PILL</v>
      </c>
      <c r="G36" s="18">
        <f t="shared" si="3"/>
        <v>0.3</v>
      </c>
      <c r="H36" s="17" t="str">
        <f t="shared" si="9"/>
        <v>PILL</v>
      </c>
      <c r="I36" s="19">
        <v>1.0</v>
      </c>
      <c r="J36" s="78">
        <v>13.0</v>
      </c>
      <c r="K36" s="83" t="s">
        <v>12</v>
      </c>
      <c r="L36" s="79" t="s">
        <v>13</v>
      </c>
      <c r="M36" s="22" t="s">
        <v>13</v>
      </c>
      <c r="N36" s="23">
        <v>16.6</v>
      </c>
      <c r="O36" s="24" t="s">
        <v>12</v>
      </c>
      <c r="P36" s="25">
        <v>60.0</v>
      </c>
      <c r="Q36" s="26" t="s">
        <v>19</v>
      </c>
    </row>
    <row r="37">
      <c r="A37" s="86" t="s">
        <v>61</v>
      </c>
      <c r="B37" s="80">
        <f>'AM Unbalanced PMR Recipe Report'!$I$47</f>
        <v>150</v>
      </c>
      <c r="C37" s="43" t="s">
        <v>26</v>
      </c>
      <c r="D37" s="44">
        <v>44.0</v>
      </c>
      <c r="E37" s="45" t="str">
        <f t="shared" si="8"/>
        <v>mg</v>
      </c>
      <c r="F37" s="46" t="str">
        <f t="shared" si="10"/>
        <v>PILL</v>
      </c>
      <c r="G37" s="47">
        <f t="shared" si="3"/>
        <v>3.409090909</v>
      </c>
      <c r="H37" s="46" t="str">
        <f t="shared" si="9"/>
        <v>PILL</v>
      </c>
      <c r="I37" s="48">
        <v>1.0</v>
      </c>
      <c r="J37" s="73">
        <v>19.95</v>
      </c>
      <c r="K37" s="85" t="s">
        <v>12</v>
      </c>
      <c r="L37" s="87" t="s">
        <v>13</v>
      </c>
      <c r="M37" s="36" t="s">
        <v>16</v>
      </c>
      <c r="N37" s="52"/>
      <c r="O37" s="53"/>
      <c r="P37" s="54">
        <v>120.0</v>
      </c>
      <c r="Q37" s="55" t="s">
        <v>19</v>
      </c>
    </row>
    <row r="38">
      <c r="A38" s="88" t="s">
        <v>62</v>
      </c>
      <c r="B38" s="76">
        <f>'AM Unbalanced PMR Recipe Report'!$I$47</f>
        <v>150</v>
      </c>
      <c r="C38" s="14" t="s">
        <v>26</v>
      </c>
      <c r="D38" s="15">
        <v>72.0</v>
      </c>
      <c r="E38" s="16" t="str">
        <f t="shared" si="8"/>
        <v>mg</v>
      </c>
      <c r="F38" s="17" t="str">
        <f t="shared" si="10"/>
        <v>PILL</v>
      </c>
      <c r="G38" s="18">
        <f t="shared" si="3"/>
        <v>2.083333333</v>
      </c>
      <c r="H38" s="17" t="str">
        <f t="shared" si="9"/>
        <v>PILL</v>
      </c>
      <c r="I38" s="19">
        <v>1.0</v>
      </c>
      <c r="J38" s="78">
        <v>14.97</v>
      </c>
      <c r="K38" s="83" t="s">
        <v>12</v>
      </c>
      <c r="L38" s="96" t="s">
        <v>13</v>
      </c>
      <c r="M38" s="40" t="s">
        <v>16</v>
      </c>
      <c r="N38" s="23"/>
      <c r="O38" s="24"/>
      <c r="P38" s="25">
        <v>180.0</v>
      </c>
      <c r="Q38" s="26" t="s">
        <v>19</v>
      </c>
    </row>
    <row r="39">
      <c r="A39" s="86" t="s">
        <v>63</v>
      </c>
      <c r="B39" s="80">
        <f>'AM Unbalanced PMR Recipe Report'!$I$47</f>
        <v>150</v>
      </c>
      <c r="C39" s="43" t="s">
        <v>26</v>
      </c>
      <c r="D39" s="44">
        <v>200.0</v>
      </c>
      <c r="E39" s="45" t="str">
        <f t="shared" si="8"/>
        <v>mg</v>
      </c>
      <c r="F39" s="46" t="str">
        <f t="shared" si="10"/>
        <v>SCOOP</v>
      </c>
      <c r="G39" s="47">
        <f t="shared" si="3"/>
        <v>0.75</v>
      </c>
      <c r="H39" s="46" t="str">
        <f t="shared" si="9"/>
        <v>SCOOP</v>
      </c>
      <c r="I39" s="48">
        <v>1.0</v>
      </c>
      <c r="J39" s="73">
        <v>40.0</v>
      </c>
      <c r="K39" s="85" t="s">
        <v>12</v>
      </c>
      <c r="L39" s="87" t="s">
        <v>13</v>
      </c>
      <c r="M39" s="36" t="s">
        <v>16</v>
      </c>
      <c r="N39" s="52"/>
      <c r="O39" s="53"/>
      <c r="P39" s="54">
        <v>40.0</v>
      </c>
      <c r="Q39" s="55" t="s">
        <v>14</v>
      </c>
    </row>
    <row r="40">
      <c r="A40" s="75" t="s">
        <v>64</v>
      </c>
      <c r="B40" s="84"/>
      <c r="C40" s="14" t="s">
        <v>26</v>
      </c>
      <c r="D40" s="15">
        <v>250.0</v>
      </c>
      <c r="E40" s="57" t="s">
        <v>26</v>
      </c>
      <c r="F40" s="14" t="s">
        <v>17</v>
      </c>
      <c r="G40" s="97">
        <v>0.0</v>
      </c>
      <c r="H40" s="14" t="s">
        <v>17</v>
      </c>
      <c r="I40" s="19">
        <v>1.0</v>
      </c>
      <c r="J40" s="98">
        <v>13.52</v>
      </c>
      <c r="K40" s="14" t="s">
        <v>12</v>
      </c>
      <c r="L40" s="79" t="s">
        <v>13</v>
      </c>
      <c r="M40" s="22" t="s">
        <v>13</v>
      </c>
      <c r="N40" s="23">
        <v>11.33</v>
      </c>
      <c r="O40" s="24" t="s">
        <v>12</v>
      </c>
      <c r="P40" s="25">
        <v>91.0</v>
      </c>
      <c r="Q40" s="26" t="s">
        <v>17</v>
      </c>
    </row>
    <row r="41">
      <c r="A41" s="72" t="s">
        <v>65</v>
      </c>
      <c r="B41" s="56"/>
      <c r="C41" s="43" t="s">
        <v>26</v>
      </c>
      <c r="D41" s="44">
        <v>100.0</v>
      </c>
      <c r="E41" s="58" t="s">
        <v>26</v>
      </c>
      <c r="F41" s="43" t="s">
        <v>19</v>
      </c>
      <c r="G41" s="47"/>
      <c r="H41" s="43" t="s">
        <v>19</v>
      </c>
      <c r="I41" s="48">
        <v>1.0</v>
      </c>
      <c r="J41" s="99"/>
      <c r="K41" s="85"/>
      <c r="L41" s="85" t="s">
        <v>16</v>
      </c>
      <c r="M41" s="51" t="s">
        <v>13</v>
      </c>
      <c r="N41" s="52">
        <v>8.0</v>
      </c>
      <c r="O41" s="53" t="s">
        <v>12</v>
      </c>
      <c r="P41" s="54">
        <v>60.0</v>
      </c>
      <c r="Q41" s="55" t="s">
        <v>19</v>
      </c>
    </row>
    <row r="42">
      <c r="A42" s="75" t="s">
        <v>66</v>
      </c>
      <c r="B42" s="76">
        <f>'AM Unbalanced PMR Recipe Report'!$I$52</f>
        <v>1.5</v>
      </c>
      <c r="C42" s="14" t="s">
        <v>26</v>
      </c>
      <c r="D42" s="15">
        <v>2.0</v>
      </c>
      <c r="E42" s="57" t="s">
        <v>26</v>
      </c>
      <c r="F42" s="17" t="str">
        <f t="shared" ref="F42:F53" si="11">Q42</f>
        <v>PILL</v>
      </c>
      <c r="G42" s="18">
        <f t="shared" ref="G42:G58" si="12">sum(B42*I42)/D42</f>
        <v>0.75</v>
      </c>
      <c r="H42" s="17" t="str">
        <f t="shared" ref="H42:H44" si="13">F42</f>
        <v>PILL</v>
      </c>
      <c r="I42" s="19">
        <v>1.0</v>
      </c>
      <c r="J42" s="98">
        <v>17.0</v>
      </c>
      <c r="K42" s="83" t="s">
        <v>12</v>
      </c>
      <c r="L42" s="79" t="s">
        <v>13</v>
      </c>
      <c r="M42" s="22" t="s">
        <v>13</v>
      </c>
      <c r="N42" s="23">
        <v>17.0</v>
      </c>
      <c r="O42" s="24" t="s">
        <v>12</v>
      </c>
      <c r="P42" s="25">
        <v>60.0</v>
      </c>
      <c r="Q42" s="26" t="s">
        <v>19</v>
      </c>
    </row>
    <row r="43">
      <c r="A43" s="72" t="s">
        <v>67</v>
      </c>
      <c r="B43" s="80">
        <f>'AM Unbalanced PMR Recipe Report'!$I$52</f>
        <v>1.5</v>
      </c>
      <c r="C43" s="43" t="s">
        <v>26</v>
      </c>
      <c r="D43" s="44">
        <v>2.5</v>
      </c>
      <c r="E43" s="58" t="s">
        <v>26</v>
      </c>
      <c r="F43" s="46" t="str">
        <f t="shared" si="11"/>
        <v>PILL</v>
      </c>
      <c r="G43" s="47">
        <f t="shared" si="12"/>
        <v>0.6</v>
      </c>
      <c r="H43" s="46" t="str">
        <f t="shared" si="13"/>
        <v>PILL</v>
      </c>
      <c r="I43" s="48">
        <v>1.0</v>
      </c>
      <c r="J43" s="99">
        <v>9.97</v>
      </c>
      <c r="K43" s="85" t="s">
        <v>12</v>
      </c>
      <c r="L43" s="74" t="s">
        <v>13</v>
      </c>
      <c r="M43" s="51" t="s">
        <v>13</v>
      </c>
      <c r="N43" s="52">
        <v>8.29</v>
      </c>
      <c r="O43" s="53" t="s">
        <v>12</v>
      </c>
      <c r="P43" s="54">
        <v>100.0</v>
      </c>
      <c r="Q43" s="55" t="s">
        <v>19</v>
      </c>
    </row>
    <row r="44">
      <c r="A44" s="75" t="s">
        <v>68</v>
      </c>
      <c r="B44" s="13">
        <f>'AM Unbalanced PMR Recipe Report'!$I$24</f>
        <v>13.8</v>
      </c>
      <c r="C44" s="14" t="s">
        <v>36</v>
      </c>
      <c r="D44" s="77"/>
      <c r="E44" s="16" t="str">
        <f>C44</f>
        <v>g</v>
      </c>
      <c r="F44" s="17" t="str">
        <f t="shared" si="11"/>
        <v>TBSP</v>
      </c>
      <c r="G44" s="18" t="str">
        <f t="shared" si="12"/>
        <v>#DIV/0!</v>
      </c>
      <c r="H44" s="17" t="str">
        <f t="shared" si="13"/>
        <v>TBSP</v>
      </c>
      <c r="I44" s="19">
        <v>1.0</v>
      </c>
      <c r="J44" s="98">
        <v>8.47</v>
      </c>
      <c r="K44" s="83" t="s">
        <v>12</v>
      </c>
      <c r="L44" s="79" t="s">
        <v>13</v>
      </c>
      <c r="M44" s="22" t="s">
        <v>13</v>
      </c>
      <c r="N44" s="23">
        <v>8.0</v>
      </c>
      <c r="O44" s="24" t="s">
        <v>12</v>
      </c>
      <c r="P44" s="25">
        <v>30.0</v>
      </c>
      <c r="Q44" s="26" t="s">
        <v>69</v>
      </c>
    </row>
    <row r="45">
      <c r="A45" s="41" t="s">
        <v>70</v>
      </c>
      <c r="B45" s="42">
        <f>'AM Unbalanced PMR Recipe Report'!$I$24</f>
        <v>13.8</v>
      </c>
      <c r="C45" s="43" t="s">
        <v>36</v>
      </c>
      <c r="D45" s="81"/>
      <c r="E45" s="58" t="s">
        <v>36</v>
      </c>
      <c r="F45" s="46" t="str">
        <f t="shared" si="11"/>
        <v>TBSP</v>
      </c>
      <c r="G45" s="47" t="str">
        <f t="shared" si="12"/>
        <v>#DIV/0!</v>
      </c>
      <c r="H45" s="43" t="s">
        <v>69</v>
      </c>
      <c r="I45" s="48">
        <v>1.0</v>
      </c>
      <c r="J45" s="49">
        <v>24.99</v>
      </c>
      <c r="K45" s="43" t="s">
        <v>12</v>
      </c>
      <c r="L45" s="74" t="s">
        <v>13</v>
      </c>
      <c r="M45" s="51" t="s">
        <v>13</v>
      </c>
      <c r="N45" s="52">
        <v>19.74</v>
      </c>
      <c r="O45" s="53" t="s">
        <v>12</v>
      </c>
      <c r="P45" s="54">
        <v>63.0</v>
      </c>
      <c r="Q45" s="55" t="s">
        <v>69</v>
      </c>
    </row>
    <row r="46">
      <c r="A46" s="12" t="s">
        <v>71</v>
      </c>
      <c r="B46" s="76">
        <f>'AM Unbalanced PMR Recipe Report'!I25</f>
        <v>2.8</v>
      </c>
      <c r="C46" s="14" t="s">
        <v>36</v>
      </c>
      <c r="D46" s="77"/>
      <c r="E46" s="16" t="str">
        <f t="shared" ref="E46:E53" si="14">C46</f>
        <v>g</v>
      </c>
      <c r="F46" s="17" t="str">
        <f t="shared" si="11"/>
        <v>TBSP</v>
      </c>
      <c r="G46" s="18" t="str">
        <f t="shared" si="12"/>
        <v>#DIV/0!</v>
      </c>
      <c r="H46" s="17" t="str">
        <f t="shared" ref="H46:H54" si="15">F46</f>
        <v>TBSP</v>
      </c>
      <c r="I46" s="19">
        <v>1.0</v>
      </c>
      <c r="J46" s="20">
        <v>19.99</v>
      </c>
      <c r="K46" s="14" t="s">
        <v>12</v>
      </c>
      <c r="L46" s="21" t="s">
        <v>13</v>
      </c>
      <c r="M46" s="22" t="s">
        <v>13</v>
      </c>
      <c r="N46" s="23">
        <v>34.98</v>
      </c>
      <c r="O46" s="24" t="s">
        <v>12</v>
      </c>
      <c r="P46" s="25">
        <v>67.0</v>
      </c>
      <c r="Q46" s="26" t="s">
        <v>69</v>
      </c>
    </row>
    <row r="47">
      <c r="A47" s="72" t="s">
        <v>72</v>
      </c>
      <c r="B47" s="54">
        <v>0.0</v>
      </c>
      <c r="C47" s="43" t="s">
        <v>26</v>
      </c>
      <c r="D47" s="81"/>
      <c r="E47" s="45" t="str">
        <f t="shared" si="14"/>
        <v>mg</v>
      </c>
      <c r="F47" s="46" t="str">
        <f t="shared" si="11"/>
        <v>PILL</v>
      </c>
      <c r="G47" s="47" t="str">
        <f t="shared" si="12"/>
        <v>#DIV/0!</v>
      </c>
      <c r="H47" s="46" t="str">
        <f t="shared" si="15"/>
        <v>PILL</v>
      </c>
      <c r="I47" s="48">
        <v>1.0</v>
      </c>
      <c r="J47" s="73">
        <v>11.89</v>
      </c>
      <c r="K47" s="85" t="s">
        <v>12</v>
      </c>
      <c r="L47" s="74" t="s">
        <v>13</v>
      </c>
      <c r="M47" s="51" t="s">
        <v>13</v>
      </c>
      <c r="N47" s="52">
        <v>17.33</v>
      </c>
      <c r="O47" s="53" t="s">
        <v>12</v>
      </c>
      <c r="P47" s="54">
        <v>100.0</v>
      </c>
      <c r="Q47" s="55" t="s">
        <v>19</v>
      </c>
    </row>
    <row r="48">
      <c r="A48" s="75" t="s">
        <v>73</v>
      </c>
      <c r="B48" s="25">
        <v>0.0</v>
      </c>
      <c r="C48" s="14" t="s">
        <v>26</v>
      </c>
      <c r="D48" s="77"/>
      <c r="E48" s="16" t="str">
        <f t="shared" si="14"/>
        <v>mg</v>
      </c>
      <c r="F48" s="17" t="str">
        <f t="shared" si="11"/>
        <v>PILL</v>
      </c>
      <c r="G48" s="18" t="str">
        <f t="shared" si="12"/>
        <v>#DIV/0!</v>
      </c>
      <c r="H48" s="17" t="str">
        <f t="shared" si="15"/>
        <v>PILL</v>
      </c>
      <c r="I48" s="19">
        <v>1.0</v>
      </c>
      <c r="J48" s="78">
        <v>22.36</v>
      </c>
      <c r="K48" s="83" t="s">
        <v>12</v>
      </c>
      <c r="L48" s="79" t="s">
        <v>13</v>
      </c>
      <c r="M48" s="22" t="s">
        <v>13</v>
      </c>
      <c r="N48" s="23">
        <v>22.36</v>
      </c>
      <c r="O48" s="24" t="s">
        <v>12</v>
      </c>
      <c r="P48" s="25">
        <v>120.0</v>
      </c>
      <c r="Q48" s="26" t="s">
        <v>19</v>
      </c>
    </row>
    <row r="49">
      <c r="A49" s="72" t="s">
        <v>74</v>
      </c>
      <c r="B49" s="54">
        <v>0.0</v>
      </c>
      <c r="C49" s="43" t="s">
        <v>26</v>
      </c>
      <c r="D49" s="81"/>
      <c r="E49" s="45" t="str">
        <f t="shared" si="14"/>
        <v>mg</v>
      </c>
      <c r="F49" s="46" t="str">
        <f t="shared" si="11"/>
        <v>PILL</v>
      </c>
      <c r="G49" s="47" t="str">
        <f t="shared" si="12"/>
        <v>#DIV/0!</v>
      </c>
      <c r="H49" s="46" t="str">
        <f t="shared" si="15"/>
        <v>PILL</v>
      </c>
      <c r="I49" s="48">
        <v>1.0</v>
      </c>
      <c r="J49" s="73">
        <v>22.36</v>
      </c>
      <c r="K49" s="85" t="s">
        <v>12</v>
      </c>
      <c r="L49" s="74" t="s">
        <v>13</v>
      </c>
      <c r="M49" s="51" t="s">
        <v>13</v>
      </c>
      <c r="N49" s="52">
        <v>22.36</v>
      </c>
      <c r="O49" s="53" t="s">
        <v>12</v>
      </c>
      <c r="P49" s="54">
        <v>120.0</v>
      </c>
      <c r="Q49" s="55" t="s">
        <v>19</v>
      </c>
    </row>
    <row r="50">
      <c r="A50" s="75" t="s">
        <v>75</v>
      </c>
      <c r="B50" s="25">
        <v>0.0</v>
      </c>
      <c r="C50" s="14" t="s">
        <v>26</v>
      </c>
      <c r="D50" s="77"/>
      <c r="E50" s="16" t="str">
        <f t="shared" si="14"/>
        <v>mg</v>
      </c>
      <c r="F50" s="17" t="str">
        <f t="shared" si="11"/>
        <v>PILL</v>
      </c>
      <c r="G50" s="18" t="str">
        <f t="shared" si="12"/>
        <v>#DIV/0!</v>
      </c>
      <c r="H50" s="17" t="str">
        <f t="shared" si="15"/>
        <v>PILL</v>
      </c>
      <c r="I50" s="19">
        <v>1.0</v>
      </c>
      <c r="J50" s="78">
        <v>26.7</v>
      </c>
      <c r="K50" s="14" t="s">
        <v>12</v>
      </c>
      <c r="L50" s="79" t="s">
        <v>13</v>
      </c>
      <c r="M50" s="22" t="s">
        <v>13</v>
      </c>
      <c r="N50" s="23">
        <v>28.0</v>
      </c>
      <c r="O50" s="24" t="s">
        <v>12</v>
      </c>
      <c r="P50" s="25">
        <v>120.0</v>
      </c>
      <c r="Q50" s="26" t="s">
        <v>19</v>
      </c>
    </row>
    <row r="51">
      <c r="A51" s="72" t="s">
        <v>76</v>
      </c>
      <c r="B51" s="54">
        <v>0.0</v>
      </c>
      <c r="C51" s="43" t="s">
        <v>26</v>
      </c>
      <c r="D51" s="81"/>
      <c r="E51" s="45" t="str">
        <f t="shared" si="14"/>
        <v>mg</v>
      </c>
      <c r="F51" s="46" t="str">
        <f t="shared" si="11"/>
        <v>PILL</v>
      </c>
      <c r="G51" s="47" t="str">
        <f t="shared" si="12"/>
        <v>#DIV/0!</v>
      </c>
      <c r="H51" s="46" t="str">
        <f t="shared" si="15"/>
        <v>PILL</v>
      </c>
      <c r="I51" s="48">
        <v>1.0</v>
      </c>
      <c r="J51" s="73">
        <v>25.0</v>
      </c>
      <c r="K51" s="43" t="s">
        <v>12</v>
      </c>
      <c r="L51" s="74" t="s">
        <v>13</v>
      </c>
      <c r="M51" s="51" t="s">
        <v>13</v>
      </c>
      <c r="N51" s="52">
        <v>26.0</v>
      </c>
      <c r="O51" s="53" t="s">
        <v>12</v>
      </c>
      <c r="P51" s="54">
        <v>120.0</v>
      </c>
      <c r="Q51" s="55" t="s">
        <v>19</v>
      </c>
    </row>
    <row r="52">
      <c r="A52" s="75" t="s">
        <v>77</v>
      </c>
      <c r="B52" s="76">
        <f>'AM Unbalanced PMR Recipe Report'!$I$44</f>
        <v>1</v>
      </c>
      <c r="C52" s="14" t="s">
        <v>36</v>
      </c>
      <c r="D52" s="15">
        <v>1.3</v>
      </c>
      <c r="E52" s="16" t="str">
        <f t="shared" si="14"/>
        <v>g</v>
      </c>
      <c r="F52" s="17" t="str">
        <f t="shared" si="11"/>
        <v>TSP</v>
      </c>
      <c r="G52" s="18">
        <f t="shared" si="12"/>
        <v>0.7692307692</v>
      </c>
      <c r="H52" s="17" t="str">
        <f t="shared" si="15"/>
        <v>TSP</v>
      </c>
      <c r="I52" s="19">
        <v>1.0</v>
      </c>
      <c r="J52" s="78">
        <v>26.99</v>
      </c>
      <c r="K52" s="83" t="s">
        <v>12</v>
      </c>
      <c r="L52" s="79" t="s">
        <v>13</v>
      </c>
      <c r="M52" s="22" t="s">
        <v>13</v>
      </c>
      <c r="N52" s="23">
        <v>12.69</v>
      </c>
      <c r="O52" s="24" t="s">
        <v>12</v>
      </c>
      <c r="P52" s="25">
        <v>95.0</v>
      </c>
      <c r="Q52" s="26" t="s">
        <v>17</v>
      </c>
    </row>
    <row r="53">
      <c r="A53" s="72" t="s">
        <v>78</v>
      </c>
      <c r="B53" s="80">
        <f>'AM Unbalanced PMR Recipe Report'!$I$44</f>
        <v>1</v>
      </c>
      <c r="C53" s="43" t="s">
        <v>36</v>
      </c>
      <c r="D53" s="44">
        <v>0.84</v>
      </c>
      <c r="E53" s="45" t="str">
        <f t="shared" si="14"/>
        <v>g</v>
      </c>
      <c r="F53" s="46" t="str">
        <f t="shared" si="11"/>
        <v>TSP</v>
      </c>
      <c r="G53" s="47">
        <f t="shared" si="12"/>
        <v>1.19047619</v>
      </c>
      <c r="H53" s="46" t="str">
        <f t="shared" si="15"/>
        <v>TSP</v>
      </c>
      <c r="I53" s="48">
        <v>1.0</v>
      </c>
      <c r="J53" s="73">
        <v>14.2</v>
      </c>
      <c r="K53" s="85" t="s">
        <v>12</v>
      </c>
      <c r="L53" s="74" t="s">
        <v>13</v>
      </c>
      <c r="M53" s="51" t="s">
        <v>13</v>
      </c>
      <c r="N53" s="52">
        <v>13.63</v>
      </c>
      <c r="O53" s="53" t="s">
        <v>12</v>
      </c>
      <c r="P53" s="54">
        <v>162.0</v>
      </c>
      <c r="Q53" s="55" t="s">
        <v>17</v>
      </c>
    </row>
    <row r="54">
      <c r="A54" s="75" t="s">
        <v>79</v>
      </c>
      <c r="B54" s="76">
        <f>'AM Unbalanced PMR Recipe Report'!$I$44</f>
        <v>1</v>
      </c>
      <c r="C54" s="14" t="s">
        <v>36</v>
      </c>
      <c r="D54" s="15">
        <v>0.6</v>
      </c>
      <c r="E54" s="57" t="s">
        <v>36</v>
      </c>
      <c r="F54" s="14" t="s">
        <v>17</v>
      </c>
      <c r="G54" s="18">
        <f t="shared" si="12"/>
        <v>1.666666667</v>
      </c>
      <c r="H54" s="17" t="str">
        <f t="shared" si="15"/>
        <v>TSP</v>
      </c>
      <c r="I54" s="19">
        <v>1.0</v>
      </c>
      <c r="J54" s="78">
        <v>9.99</v>
      </c>
      <c r="K54" s="14" t="s">
        <v>12</v>
      </c>
      <c r="L54" s="79" t="s">
        <v>13</v>
      </c>
      <c r="M54" s="22" t="s">
        <v>13</v>
      </c>
      <c r="N54" s="23">
        <v>8.02</v>
      </c>
      <c r="O54" s="24" t="s">
        <v>12</v>
      </c>
      <c r="P54" s="25">
        <v>200.0</v>
      </c>
      <c r="Q54" s="26" t="s">
        <v>17</v>
      </c>
    </row>
    <row r="55">
      <c r="A55" s="72" t="s">
        <v>80</v>
      </c>
      <c r="B55" s="80">
        <f>'AM Unbalanced PMR Recipe Report'!$I$44</f>
        <v>1</v>
      </c>
      <c r="C55" s="43" t="s">
        <v>36</v>
      </c>
      <c r="D55" s="44">
        <v>0.5</v>
      </c>
      <c r="E55" s="58" t="s">
        <v>36</v>
      </c>
      <c r="F55" s="43" t="s">
        <v>19</v>
      </c>
      <c r="G55" s="47">
        <f t="shared" si="12"/>
        <v>2</v>
      </c>
      <c r="H55" s="43" t="s">
        <v>19</v>
      </c>
      <c r="I55" s="48">
        <v>1.0</v>
      </c>
      <c r="J55" s="73">
        <v>16.24</v>
      </c>
      <c r="K55" s="43" t="s">
        <v>12</v>
      </c>
      <c r="L55" s="74" t="s">
        <v>13</v>
      </c>
      <c r="M55" s="51" t="s">
        <v>13</v>
      </c>
      <c r="N55" s="52">
        <v>15.13</v>
      </c>
      <c r="O55" s="53" t="s">
        <v>12</v>
      </c>
      <c r="P55" s="100">
        <v>250.0</v>
      </c>
      <c r="Q55" s="55" t="s">
        <v>19</v>
      </c>
    </row>
    <row r="56">
      <c r="A56" s="75" t="s">
        <v>81</v>
      </c>
      <c r="B56" s="76">
        <f>'AM Unbalanced PMR Recipe Report'!$I$44</f>
        <v>1</v>
      </c>
      <c r="C56" s="14" t="s">
        <v>36</v>
      </c>
      <c r="D56" s="15">
        <v>0.4</v>
      </c>
      <c r="E56" s="57" t="s">
        <v>36</v>
      </c>
      <c r="F56" s="14" t="s">
        <v>17</v>
      </c>
      <c r="G56" s="18">
        <f t="shared" si="12"/>
        <v>2.5</v>
      </c>
      <c r="H56" s="14" t="s">
        <v>17</v>
      </c>
      <c r="I56" s="19">
        <v>1.0</v>
      </c>
      <c r="J56" s="78">
        <v>9.94</v>
      </c>
      <c r="K56" s="14" t="s">
        <v>12</v>
      </c>
      <c r="L56" s="79" t="s">
        <v>13</v>
      </c>
      <c r="M56" s="22" t="s">
        <v>13</v>
      </c>
      <c r="N56" s="23">
        <v>8.4</v>
      </c>
      <c r="O56" s="24" t="s">
        <v>12</v>
      </c>
      <c r="P56" s="15">
        <v>113.5</v>
      </c>
      <c r="Q56" s="26" t="s">
        <v>17</v>
      </c>
    </row>
    <row r="57">
      <c r="A57" s="72" t="s">
        <v>82</v>
      </c>
      <c r="B57" s="80">
        <f>'AM Unbalanced PMR Recipe Report'!$I$44</f>
        <v>1</v>
      </c>
      <c r="C57" s="43" t="s">
        <v>36</v>
      </c>
      <c r="D57" s="44">
        <v>1.0</v>
      </c>
      <c r="E57" s="58" t="s">
        <v>36</v>
      </c>
      <c r="F57" s="43" t="s">
        <v>17</v>
      </c>
      <c r="G57" s="47">
        <f t="shared" si="12"/>
        <v>1</v>
      </c>
      <c r="H57" s="46" t="str">
        <f>F57</f>
        <v>TSP</v>
      </c>
      <c r="I57" s="48">
        <v>1.0</v>
      </c>
      <c r="J57" s="73">
        <v>33.5</v>
      </c>
      <c r="K57" s="43" t="s">
        <v>12</v>
      </c>
      <c r="L57" s="74" t="s">
        <v>13</v>
      </c>
      <c r="M57" s="51" t="s">
        <v>13</v>
      </c>
      <c r="N57" s="52">
        <v>26.8</v>
      </c>
      <c r="O57" s="53" t="s">
        <v>12</v>
      </c>
      <c r="P57" s="44">
        <v>5.0</v>
      </c>
      <c r="Q57" s="55" t="s">
        <v>17</v>
      </c>
    </row>
    <row r="58">
      <c r="A58" s="101" t="s">
        <v>83</v>
      </c>
      <c r="B58" s="76">
        <f>'AM Unbalanced PMR Recipe Report'!$I$44</f>
        <v>1</v>
      </c>
      <c r="C58" s="14" t="s">
        <v>36</v>
      </c>
      <c r="D58" s="15">
        <v>0.39</v>
      </c>
      <c r="E58" s="57" t="s">
        <v>36</v>
      </c>
      <c r="F58" s="14" t="s">
        <v>17</v>
      </c>
      <c r="G58" s="18">
        <f t="shared" si="12"/>
        <v>2.564102564</v>
      </c>
      <c r="H58" s="14" t="s">
        <v>40</v>
      </c>
      <c r="I58" s="19">
        <v>1.0</v>
      </c>
      <c r="J58" s="78">
        <v>0.0</v>
      </c>
      <c r="K58" s="14" t="s">
        <v>40</v>
      </c>
      <c r="L58" s="102" t="s">
        <v>84</v>
      </c>
      <c r="M58" s="103" t="s">
        <v>84</v>
      </c>
      <c r="N58" s="104"/>
      <c r="O58" s="105"/>
      <c r="P58" s="25"/>
      <c r="Q58" s="26" t="s">
        <v>40</v>
      </c>
    </row>
    <row r="59">
      <c r="A59" s="72" t="s">
        <v>85</v>
      </c>
      <c r="B59" s="42">
        <f>'AM Unbalanced PMR Recipe Report'!$I$33</f>
        <v>0.56</v>
      </c>
      <c r="C59" s="43" t="s">
        <v>26</v>
      </c>
      <c r="D59" s="81"/>
      <c r="E59" s="45" t="str">
        <f>C59</f>
        <v>mg</v>
      </c>
      <c r="F59" s="46" t="str">
        <f>Q59</f>
        <v>TSP</v>
      </c>
      <c r="G59" s="47">
        <f>sum((0.5/1000)*'Unbalanced PMR Recipe Data'!D11)</f>
        <v>0.5</v>
      </c>
      <c r="H59" s="46" t="str">
        <f>F59</f>
        <v>TSP</v>
      </c>
      <c r="I59" s="48">
        <v>1.0</v>
      </c>
      <c r="J59" s="73">
        <v>13.99</v>
      </c>
      <c r="K59" s="85" t="s">
        <v>24</v>
      </c>
      <c r="L59" s="74" t="s">
        <v>13</v>
      </c>
      <c r="M59" s="51" t="s">
        <v>13</v>
      </c>
      <c r="N59" s="52">
        <v>15.99</v>
      </c>
      <c r="O59" s="53" t="s">
        <v>12</v>
      </c>
      <c r="P59" s="56">
        <f>SUM((28*2)*3)</f>
        <v>168</v>
      </c>
      <c r="Q59" s="55" t="s">
        <v>17</v>
      </c>
    </row>
    <row r="60">
      <c r="A60" s="75" t="s">
        <v>86</v>
      </c>
      <c r="B60" s="13">
        <f>'AM Unbalanced PMR Recipe Report'!$I$40</f>
        <v>8.75</v>
      </c>
      <c r="C60" s="14" t="s">
        <v>26</v>
      </c>
      <c r="D60" s="15">
        <v>0.1</v>
      </c>
      <c r="E60" s="57" t="s">
        <v>26</v>
      </c>
      <c r="F60" s="14" t="s">
        <v>21</v>
      </c>
      <c r="G60" s="18">
        <f>sum(B60*I60)/D60</f>
        <v>87.5</v>
      </c>
      <c r="H60" s="14" t="s">
        <v>21</v>
      </c>
      <c r="I60" s="19">
        <v>1.0</v>
      </c>
      <c r="J60" s="78">
        <v>10.42</v>
      </c>
      <c r="K60" s="14" t="s">
        <v>12</v>
      </c>
      <c r="L60" s="79" t="s">
        <v>13</v>
      </c>
      <c r="M60" s="22" t="s">
        <v>13</v>
      </c>
      <c r="N60" s="23">
        <v>11.06</v>
      </c>
      <c r="O60" s="24" t="s">
        <v>12</v>
      </c>
      <c r="P60" s="25">
        <v>1180.0</v>
      </c>
      <c r="Q60" s="26" t="s">
        <v>21</v>
      </c>
    </row>
    <row r="61">
      <c r="A61" s="72" t="s">
        <v>87</v>
      </c>
      <c r="B61" s="42">
        <f>'AM Unbalanced PMR Recipe Report'!$I$33</f>
        <v>0.56</v>
      </c>
      <c r="C61" s="43" t="s">
        <v>26</v>
      </c>
      <c r="D61" s="81"/>
      <c r="E61" s="45" t="str">
        <f t="shared" ref="E61:E62" si="16">C61</f>
        <v>mg</v>
      </c>
      <c r="F61" s="46" t="str">
        <f t="shared" ref="F61:F62" si="17">Q61</f>
        <v>PILL</v>
      </c>
      <c r="G61" s="47">
        <f>sum((0.1/1000)*'Unbalanced PMR Recipe Data'!D11)</f>
        <v>0.1</v>
      </c>
      <c r="H61" s="46" t="str">
        <f t="shared" ref="H61:H62" si="18">F61</f>
        <v>PILL</v>
      </c>
      <c r="I61" s="48">
        <v>1.0</v>
      </c>
      <c r="J61" s="73">
        <v>20.36</v>
      </c>
      <c r="K61" s="85" t="s">
        <v>12</v>
      </c>
      <c r="L61" s="74" t="s">
        <v>13</v>
      </c>
      <c r="M61" s="51" t="s">
        <v>13</v>
      </c>
      <c r="N61" s="52">
        <v>19.16</v>
      </c>
      <c r="O61" s="53" t="s">
        <v>12</v>
      </c>
      <c r="P61" s="54">
        <v>250.0</v>
      </c>
      <c r="Q61" s="55" t="s">
        <v>19</v>
      </c>
    </row>
    <row r="62">
      <c r="A62" s="75" t="s">
        <v>88</v>
      </c>
      <c r="B62" s="13">
        <f>'AM Unbalanced PMR Recipe Report'!$I$33</f>
        <v>0.56</v>
      </c>
      <c r="C62" s="14" t="s">
        <v>26</v>
      </c>
      <c r="D62" s="77"/>
      <c r="E62" s="16" t="str">
        <f t="shared" si="16"/>
        <v>mg</v>
      </c>
      <c r="F62" s="17" t="str">
        <f t="shared" si="17"/>
        <v>PILL</v>
      </c>
      <c r="G62" s="18">
        <f>sum((0.1/1000)*'Unbalanced PMR Recipe Data'!D11)</f>
        <v>0.1</v>
      </c>
      <c r="H62" s="17" t="str">
        <f t="shared" si="18"/>
        <v>PILL</v>
      </c>
      <c r="I62" s="19">
        <v>1.0</v>
      </c>
      <c r="J62" s="78">
        <v>23.0</v>
      </c>
      <c r="K62" s="83" t="s">
        <v>12</v>
      </c>
      <c r="L62" s="79" t="s">
        <v>13</v>
      </c>
      <c r="M62" s="22" t="s">
        <v>13</v>
      </c>
      <c r="N62" s="23">
        <v>24.0</v>
      </c>
      <c r="O62" s="24"/>
      <c r="P62" s="25">
        <v>60.0</v>
      </c>
      <c r="Q62" s="26" t="s">
        <v>19</v>
      </c>
    </row>
    <row r="63">
      <c r="A63" s="72" t="s">
        <v>89</v>
      </c>
      <c r="B63" s="42">
        <f>'AM Unbalanced PMR Recipe Report'!$I$28</f>
        <v>0.11</v>
      </c>
      <c r="C63" s="43" t="s">
        <v>36</v>
      </c>
      <c r="D63" s="81">
        <f>sum(1090/1000)</f>
        <v>1.09</v>
      </c>
      <c r="E63" s="58" t="s">
        <v>36</v>
      </c>
      <c r="F63" s="43" t="s">
        <v>90</v>
      </c>
      <c r="G63" s="47">
        <f>sum('Unbalanced PMR Recipe Data'!$D$11/1000)*2</f>
        <v>2</v>
      </c>
      <c r="H63" s="43" t="s">
        <v>91</v>
      </c>
      <c r="I63" s="48">
        <v>1.0</v>
      </c>
      <c r="J63" s="73">
        <v>21.99</v>
      </c>
      <c r="K63" s="43" t="s">
        <v>12</v>
      </c>
      <c r="L63" s="74" t="s">
        <v>13</v>
      </c>
      <c r="M63" s="36" t="s">
        <v>16</v>
      </c>
      <c r="N63" s="52"/>
      <c r="O63" s="53"/>
      <c r="P63" s="44">
        <f>sum(474/3.5)</f>
        <v>135.4285714</v>
      </c>
      <c r="Q63" s="55" t="s">
        <v>91</v>
      </c>
    </row>
    <row r="64">
      <c r="A64" s="75" t="s">
        <v>92</v>
      </c>
      <c r="B64" s="13">
        <f>'AM Unbalanced PMR Recipe Report'!$I$28</f>
        <v>0.11</v>
      </c>
      <c r="C64" s="14" t="s">
        <v>36</v>
      </c>
      <c r="D64" s="77">
        <f>sum((800+525)/1000)</f>
        <v>1.325</v>
      </c>
      <c r="E64" s="57" t="s">
        <v>36</v>
      </c>
      <c r="F64" s="14" t="s">
        <v>17</v>
      </c>
      <c r="G64" s="18">
        <f>sum('Unbalanced PMR Recipe Data'!$D$11/1000)*2</f>
        <v>2</v>
      </c>
      <c r="H64" s="14" t="s">
        <v>91</v>
      </c>
      <c r="I64" s="19">
        <v>1.0</v>
      </c>
      <c r="J64" s="78">
        <v>31.95</v>
      </c>
      <c r="K64" s="14" t="s">
        <v>12</v>
      </c>
      <c r="L64" s="79" t="s">
        <v>13</v>
      </c>
      <c r="M64" s="40" t="s">
        <v>16</v>
      </c>
      <c r="N64" s="23"/>
      <c r="O64" s="24"/>
      <c r="P64" s="25">
        <v>190.0</v>
      </c>
      <c r="Q64" s="26" t="s">
        <v>91</v>
      </c>
    </row>
    <row r="65">
      <c r="A65" s="72" t="s">
        <v>93</v>
      </c>
      <c r="B65" s="42">
        <f>'AM Unbalanced PMR Recipe Report'!$I$28</f>
        <v>0.11</v>
      </c>
      <c r="C65" s="43" t="s">
        <v>36</v>
      </c>
      <c r="D65" s="81">
        <f>sum((4600*33%)/1000)</f>
        <v>1.518</v>
      </c>
      <c r="E65" s="45" t="str">
        <f t="shared" ref="E65:E67" si="19">C65</f>
        <v>g</v>
      </c>
      <c r="F65" s="46" t="str">
        <f t="shared" ref="F65:F68" si="20">Q65</f>
        <v>TSP</v>
      </c>
      <c r="G65" s="47">
        <f>sum('Unbalanced PMR Recipe Data'!$D$11/1000)*1</f>
        <v>1</v>
      </c>
      <c r="H65" s="46" t="str">
        <f>F65</f>
        <v>TSP</v>
      </c>
      <c r="I65" s="48">
        <v>1.0</v>
      </c>
      <c r="J65" s="73">
        <v>20.0</v>
      </c>
      <c r="K65" s="43" t="s">
        <v>12</v>
      </c>
      <c r="L65" s="74" t="s">
        <v>13</v>
      </c>
      <c r="M65" s="51" t="s">
        <v>13</v>
      </c>
      <c r="N65" s="52">
        <v>35.66</v>
      </c>
      <c r="O65" s="53" t="s">
        <v>12</v>
      </c>
      <c r="P65" s="54">
        <v>47.4</v>
      </c>
      <c r="Q65" s="55" t="s">
        <v>17</v>
      </c>
    </row>
    <row r="66">
      <c r="A66" s="75" t="s">
        <v>94</v>
      </c>
      <c r="B66" s="13">
        <f>'AM Unbalanced PMR Recipe Report'!$I$28</f>
        <v>0.11</v>
      </c>
      <c r="C66" s="14" t="s">
        <v>36</v>
      </c>
      <c r="D66" s="77">
        <f>sum(1175/1000)</f>
        <v>1.175</v>
      </c>
      <c r="E66" s="16" t="str">
        <f t="shared" si="19"/>
        <v>g</v>
      </c>
      <c r="F66" s="17" t="str">
        <f t="shared" si="20"/>
        <v>PUMP</v>
      </c>
      <c r="G66" s="18">
        <f>sum('Unbalanced PMR Recipe Data'!$D$11/1000)*2</f>
        <v>2</v>
      </c>
      <c r="H66" s="14" t="s">
        <v>91</v>
      </c>
      <c r="I66" s="19">
        <v>1.0</v>
      </c>
      <c r="J66" s="78">
        <v>28.95</v>
      </c>
      <c r="K66" s="14" t="s">
        <v>12</v>
      </c>
      <c r="L66" s="79" t="s">
        <v>13</v>
      </c>
      <c r="M66" s="40" t="s">
        <v>16</v>
      </c>
      <c r="N66" s="23"/>
      <c r="O66" s="24"/>
      <c r="P66" s="25">
        <f>sum(94.6*2)</f>
        <v>189.2</v>
      </c>
      <c r="Q66" s="26" t="s">
        <v>91</v>
      </c>
    </row>
    <row r="67">
      <c r="A67" s="106" t="s">
        <v>95</v>
      </c>
      <c r="B67" s="100">
        <f>'AM Unbalanced PMR Recipe Report'!I22</f>
        <v>0</v>
      </c>
      <c r="C67" s="43" t="s">
        <v>36</v>
      </c>
      <c r="D67" s="44">
        <v>1.0</v>
      </c>
      <c r="E67" s="45" t="str">
        <f t="shared" si="19"/>
        <v>g</v>
      </c>
      <c r="F67" s="46" t="str">
        <f t="shared" si="20"/>
        <v>G</v>
      </c>
      <c r="G67" s="47">
        <f t="shared" ref="G67:G68" si="21">sum(B67*I67)/D67</f>
        <v>0</v>
      </c>
      <c r="H67" s="46" t="str">
        <f t="shared" ref="H67:H68" si="22">F67</f>
        <v>G</v>
      </c>
      <c r="I67" s="48">
        <v>1.0</v>
      </c>
      <c r="J67" s="107">
        <v>10.39</v>
      </c>
      <c r="K67" s="108" t="s">
        <v>12</v>
      </c>
      <c r="L67" s="109" t="s">
        <v>13</v>
      </c>
      <c r="M67" s="51" t="s">
        <v>13</v>
      </c>
      <c r="N67" s="52">
        <v>9.26</v>
      </c>
      <c r="O67" s="53" t="s">
        <v>12</v>
      </c>
      <c r="P67" s="110">
        <v>227.0</v>
      </c>
      <c r="Q67" s="111" t="s">
        <v>40</v>
      </c>
    </row>
    <row r="68">
      <c r="A68" s="112" t="s">
        <v>96</v>
      </c>
      <c r="B68" s="113">
        <f>'AM Unbalanced PMR Recipe Report'!I22</f>
        <v>0</v>
      </c>
      <c r="C68" s="14" t="s">
        <v>36</v>
      </c>
      <c r="D68" s="15">
        <f>sum(212/(2.3*1000))</f>
        <v>0.09217391304</v>
      </c>
      <c r="E68" s="57" t="s">
        <v>26</v>
      </c>
      <c r="F68" s="17" t="str">
        <f t="shared" si="20"/>
        <v>TSP</v>
      </c>
      <c r="G68" s="18">
        <f t="shared" si="21"/>
        <v>0</v>
      </c>
      <c r="H68" s="17" t="str">
        <f t="shared" si="22"/>
        <v>TSP</v>
      </c>
      <c r="I68" s="114">
        <v>1.0</v>
      </c>
      <c r="J68" s="115">
        <v>20.39</v>
      </c>
      <c r="K68" s="116" t="s">
        <v>12</v>
      </c>
      <c r="L68" s="117" t="s">
        <v>13</v>
      </c>
      <c r="M68" s="40" t="s">
        <v>16</v>
      </c>
      <c r="N68" s="23"/>
      <c r="O68" s="118"/>
      <c r="P68" s="119">
        <f>sum(75/2.3)</f>
        <v>32.60869565</v>
      </c>
      <c r="Q68" s="120" t="s">
        <v>17</v>
      </c>
    </row>
    <row r="69">
      <c r="A69" s="106" t="s">
        <v>97</v>
      </c>
      <c r="B69" s="121"/>
      <c r="C69" s="122"/>
      <c r="D69" s="123"/>
      <c r="E69" s="124"/>
      <c r="F69" s="122"/>
      <c r="G69" s="125"/>
      <c r="H69" s="122"/>
      <c r="I69" s="126"/>
      <c r="J69" s="107">
        <v>51.95</v>
      </c>
      <c r="K69" s="108" t="s">
        <v>98</v>
      </c>
      <c r="L69" s="109" t="s">
        <v>13</v>
      </c>
      <c r="M69" s="127" t="s">
        <v>16</v>
      </c>
      <c r="N69" s="128"/>
      <c r="O69" s="129"/>
      <c r="P69" s="130">
        <f t="shared" ref="P69:P70" si="23">sum((3*16)*28.35)/26</f>
        <v>52.33846154</v>
      </c>
      <c r="Q69" s="111" t="s">
        <v>14</v>
      </c>
    </row>
    <row r="70">
      <c r="A70" s="112" t="s">
        <v>99</v>
      </c>
      <c r="B70" s="131"/>
      <c r="C70" s="132"/>
      <c r="D70" s="119"/>
      <c r="E70" s="133"/>
      <c r="F70" s="132"/>
      <c r="G70" s="134"/>
      <c r="H70" s="132"/>
      <c r="I70" s="135"/>
      <c r="J70" s="115">
        <v>48.95</v>
      </c>
      <c r="K70" s="116" t="s">
        <v>98</v>
      </c>
      <c r="L70" s="117" t="s">
        <v>13</v>
      </c>
      <c r="M70" s="136" t="s">
        <v>16</v>
      </c>
      <c r="N70" s="137"/>
      <c r="O70" s="118"/>
      <c r="P70" s="138">
        <f t="shared" si="23"/>
        <v>52.33846154</v>
      </c>
      <c r="Q70" s="120" t="s">
        <v>14</v>
      </c>
    </row>
    <row r="71">
      <c r="A71" s="106" t="s">
        <v>100</v>
      </c>
      <c r="B71" s="121"/>
      <c r="C71" s="122"/>
      <c r="D71" s="123"/>
      <c r="E71" s="124"/>
      <c r="F71" s="122"/>
      <c r="G71" s="125"/>
      <c r="H71" s="122"/>
      <c r="I71" s="126"/>
      <c r="J71" s="107">
        <v>41.0</v>
      </c>
      <c r="K71" s="108" t="s">
        <v>101</v>
      </c>
      <c r="L71" s="109" t="s">
        <v>13</v>
      </c>
      <c r="M71" s="127" t="s">
        <v>16</v>
      </c>
      <c r="N71" s="128"/>
      <c r="O71" s="129"/>
      <c r="P71" s="130">
        <f t="shared" ref="P71:P72" si="24">sum((5*16)*28.35)/26</f>
        <v>87.23076923</v>
      </c>
      <c r="Q71" s="111" t="s">
        <v>14</v>
      </c>
    </row>
    <row r="72">
      <c r="A72" s="112" t="s">
        <v>102</v>
      </c>
      <c r="B72" s="131"/>
      <c r="C72" s="132"/>
      <c r="D72" s="119"/>
      <c r="E72" s="133"/>
      <c r="F72" s="132"/>
      <c r="G72" s="134"/>
      <c r="H72" s="132"/>
      <c r="I72" s="135"/>
      <c r="J72" s="115">
        <v>53.06</v>
      </c>
      <c r="K72" s="116" t="s">
        <v>101</v>
      </c>
      <c r="L72" s="117" t="s">
        <v>13</v>
      </c>
      <c r="M72" s="136" t="s">
        <v>16</v>
      </c>
      <c r="N72" s="137"/>
      <c r="O72" s="118"/>
      <c r="P72" s="138">
        <f t="shared" si="24"/>
        <v>87.23076923</v>
      </c>
      <c r="Q72" s="120" t="s">
        <v>14</v>
      </c>
    </row>
    <row r="73">
      <c r="A73" s="106" t="s">
        <v>103</v>
      </c>
      <c r="B73" s="121"/>
      <c r="C73" s="122"/>
      <c r="D73" s="139">
        <v>9.0</v>
      </c>
      <c r="E73" s="140" t="s">
        <v>36</v>
      </c>
      <c r="F73" s="108" t="s">
        <v>69</v>
      </c>
      <c r="G73" s="125"/>
      <c r="H73" s="122"/>
      <c r="I73" s="126"/>
      <c r="J73" s="107">
        <v>15.84</v>
      </c>
      <c r="K73" s="108" t="s">
        <v>104</v>
      </c>
      <c r="L73" s="109" t="s">
        <v>13</v>
      </c>
      <c r="M73" s="141" t="s">
        <v>13</v>
      </c>
      <c r="N73" s="142">
        <v>14.37</v>
      </c>
      <c r="O73" s="143" t="s">
        <v>39</v>
      </c>
      <c r="P73" s="110">
        <v>75.6</v>
      </c>
      <c r="Q73" s="111" t="s">
        <v>69</v>
      </c>
    </row>
    <row r="74">
      <c r="A74" s="112" t="s">
        <v>105</v>
      </c>
      <c r="B74" s="131"/>
      <c r="C74" s="132"/>
      <c r="D74" s="144">
        <v>6.0</v>
      </c>
      <c r="E74" s="145" t="s">
        <v>36</v>
      </c>
      <c r="F74" s="116" t="s">
        <v>69</v>
      </c>
      <c r="G74" s="134"/>
      <c r="H74" s="132"/>
      <c r="I74" s="135"/>
      <c r="J74" s="115">
        <v>16.5</v>
      </c>
      <c r="K74" s="116" t="s">
        <v>106</v>
      </c>
      <c r="L74" s="117" t="s">
        <v>13</v>
      </c>
      <c r="M74" s="136" t="s">
        <v>16</v>
      </c>
      <c r="N74" s="137"/>
      <c r="O74" s="118"/>
      <c r="P74" s="146">
        <v>75.6</v>
      </c>
      <c r="Q74" s="120" t="s">
        <v>69</v>
      </c>
    </row>
    <row r="75">
      <c r="A75" s="106" t="s">
        <v>107</v>
      </c>
      <c r="B75" s="121"/>
      <c r="C75" s="122"/>
      <c r="D75" s="123"/>
      <c r="E75" s="124"/>
      <c r="F75" s="108" t="s">
        <v>14</v>
      </c>
      <c r="G75" s="125"/>
      <c r="H75" s="122"/>
      <c r="I75" s="126"/>
      <c r="J75" s="107">
        <v>19.97</v>
      </c>
      <c r="K75" s="108" t="s">
        <v>12</v>
      </c>
      <c r="L75" s="109" t="s">
        <v>13</v>
      </c>
      <c r="M75" s="127" t="s">
        <v>16</v>
      </c>
      <c r="N75" s="128"/>
      <c r="O75" s="129"/>
      <c r="P75" s="110">
        <v>150.0</v>
      </c>
      <c r="Q75" s="111" t="s">
        <v>14</v>
      </c>
    </row>
    <row r="76">
      <c r="A76" s="112" t="s">
        <v>108</v>
      </c>
      <c r="B76" s="131"/>
      <c r="C76" s="132"/>
      <c r="D76" s="119"/>
      <c r="E76" s="133"/>
      <c r="F76" s="116" t="s">
        <v>19</v>
      </c>
      <c r="G76" s="134"/>
      <c r="H76" s="132"/>
      <c r="I76" s="135"/>
      <c r="J76" s="115">
        <v>17.49</v>
      </c>
      <c r="K76" s="116" t="s">
        <v>12</v>
      </c>
      <c r="L76" s="117" t="s">
        <v>13</v>
      </c>
      <c r="M76" s="136" t="s">
        <v>16</v>
      </c>
      <c r="N76" s="137"/>
      <c r="O76" s="118"/>
      <c r="P76" s="146">
        <v>100.0</v>
      </c>
      <c r="Q76" s="120" t="s">
        <v>19</v>
      </c>
    </row>
    <row r="77">
      <c r="A77" s="106" t="s">
        <v>109</v>
      </c>
      <c r="B77" s="121"/>
      <c r="C77" s="122"/>
      <c r="D77" s="123"/>
      <c r="E77" s="124"/>
      <c r="F77" s="108" t="s">
        <v>19</v>
      </c>
      <c r="G77" s="125"/>
      <c r="H77" s="122"/>
      <c r="I77" s="126"/>
      <c r="J77" s="107">
        <v>14.17</v>
      </c>
      <c r="K77" s="108" t="s">
        <v>12</v>
      </c>
      <c r="L77" s="109" t="s">
        <v>13</v>
      </c>
      <c r="M77" s="141" t="s">
        <v>13</v>
      </c>
      <c r="N77" s="142">
        <v>11.47</v>
      </c>
      <c r="O77" s="143" t="s">
        <v>12</v>
      </c>
      <c r="P77" s="110">
        <v>90.0</v>
      </c>
      <c r="Q77" s="111" t="s">
        <v>19</v>
      </c>
    </row>
    <row r="78">
      <c r="A78" s="147"/>
      <c r="B78" s="131"/>
      <c r="C78" s="132"/>
      <c r="D78" s="119"/>
      <c r="E78" s="133"/>
      <c r="F78" s="132"/>
      <c r="G78" s="134"/>
      <c r="H78" s="132"/>
      <c r="I78" s="135"/>
      <c r="J78" s="148"/>
      <c r="K78" s="132"/>
      <c r="L78" s="16"/>
      <c r="M78" s="149"/>
      <c r="N78" s="137"/>
      <c r="O78" s="118"/>
      <c r="P78" s="131"/>
      <c r="Q78" s="150"/>
    </row>
    <row r="79">
      <c r="A79" s="151"/>
      <c r="B79" s="121"/>
      <c r="C79" s="122"/>
      <c r="D79" s="123"/>
      <c r="E79" s="124"/>
      <c r="F79" s="122"/>
      <c r="G79" s="125"/>
      <c r="H79" s="122"/>
      <c r="I79" s="126"/>
      <c r="J79" s="152"/>
      <c r="K79" s="122"/>
      <c r="L79" s="45"/>
      <c r="M79" s="153"/>
      <c r="N79" s="128"/>
      <c r="O79" s="129"/>
      <c r="P79" s="121"/>
      <c r="Q79" s="154"/>
    </row>
    <row r="80">
      <c r="A80" s="147"/>
      <c r="B80" s="131"/>
      <c r="C80" s="132"/>
      <c r="D80" s="119"/>
      <c r="E80" s="133"/>
      <c r="F80" s="132"/>
      <c r="G80" s="134"/>
      <c r="H80" s="132"/>
      <c r="I80" s="135"/>
      <c r="J80" s="148"/>
      <c r="K80" s="132"/>
      <c r="L80" s="16"/>
      <c r="M80" s="149"/>
      <c r="N80" s="137"/>
      <c r="O80" s="118"/>
      <c r="P80" s="131"/>
      <c r="Q80" s="150"/>
    </row>
    <row r="81">
      <c r="A81" s="151"/>
      <c r="B81" s="121"/>
      <c r="C81" s="122"/>
      <c r="D81" s="123"/>
      <c r="E81" s="124"/>
      <c r="F81" s="122"/>
      <c r="G81" s="125"/>
      <c r="H81" s="122"/>
      <c r="I81" s="126"/>
      <c r="J81" s="152"/>
      <c r="K81" s="122"/>
      <c r="L81" s="45"/>
      <c r="M81" s="153"/>
      <c r="N81" s="128"/>
      <c r="O81" s="129"/>
      <c r="P81" s="121"/>
      <c r="Q81" s="154"/>
    </row>
    <row r="82">
      <c r="A82" s="147"/>
      <c r="B82" s="131"/>
      <c r="C82" s="132"/>
      <c r="D82" s="119"/>
      <c r="E82" s="133"/>
      <c r="F82" s="132"/>
      <c r="G82" s="134"/>
      <c r="H82" s="132"/>
      <c r="I82" s="135"/>
      <c r="J82" s="148"/>
      <c r="K82" s="132"/>
      <c r="L82" s="16"/>
      <c r="M82" s="149"/>
      <c r="N82" s="137"/>
      <c r="O82" s="118"/>
      <c r="P82" s="131"/>
      <c r="Q82" s="150"/>
    </row>
    <row r="83">
      <c r="A83" s="151"/>
      <c r="B83" s="121"/>
      <c r="C83" s="122"/>
      <c r="D83" s="123"/>
      <c r="E83" s="124"/>
      <c r="F83" s="122"/>
      <c r="G83" s="125"/>
      <c r="H83" s="122"/>
      <c r="I83" s="126"/>
      <c r="J83" s="152"/>
      <c r="K83" s="122"/>
      <c r="L83" s="45"/>
      <c r="M83" s="153"/>
      <c r="N83" s="128"/>
      <c r="O83" s="129"/>
      <c r="P83" s="121"/>
      <c r="Q83" s="154"/>
    </row>
    <row r="84">
      <c r="A84" s="147"/>
      <c r="B84" s="131"/>
      <c r="C84" s="132"/>
      <c r="D84" s="119"/>
      <c r="E84" s="133"/>
      <c r="F84" s="132"/>
      <c r="G84" s="134"/>
      <c r="H84" s="132"/>
      <c r="I84" s="135"/>
      <c r="J84" s="148"/>
      <c r="K84" s="132"/>
      <c r="L84" s="16"/>
      <c r="M84" s="149"/>
      <c r="N84" s="137"/>
      <c r="O84" s="118"/>
      <c r="P84" s="131"/>
      <c r="Q84" s="150"/>
    </row>
    <row r="85">
      <c r="A85" s="151"/>
      <c r="B85" s="121"/>
      <c r="C85" s="122"/>
      <c r="D85" s="123"/>
      <c r="E85" s="124"/>
      <c r="F85" s="122"/>
      <c r="G85" s="125"/>
      <c r="H85" s="122"/>
      <c r="I85" s="126"/>
      <c r="J85" s="152"/>
      <c r="K85" s="122"/>
      <c r="L85" s="45"/>
      <c r="M85" s="153"/>
      <c r="N85" s="128"/>
      <c r="O85" s="129"/>
      <c r="P85" s="121"/>
      <c r="Q85" s="154"/>
    </row>
    <row r="86">
      <c r="A86" s="147"/>
      <c r="B86" s="131"/>
      <c r="C86" s="132"/>
      <c r="D86" s="119"/>
      <c r="E86" s="133"/>
      <c r="F86" s="132"/>
      <c r="G86" s="134"/>
      <c r="H86" s="132"/>
      <c r="I86" s="135"/>
      <c r="J86" s="148"/>
      <c r="K86" s="132"/>
      <c r="L86" s="16"/>
      <c r="M86" s="149"/>
      <c r="N86" s="137"/>
      <c r="O86" s="118"/>
      <c r="P86" s="131"/>
      <c r="Q86" s="150"/>
    </row>
    <row r="87">
      <c r="A87" s="151"/>
      <c r="B87" s="121"/>
      <c r="C87" s="122"/>
      <c r="D87" s="123"/>
      <c r="E87" s="124"/>
      <c r="F87" s="122"/>
      <c r="G87" s="125"/>
      <c r="H87" s="122"/>
      <c r="I87" s="126"/>
      <c r="J87" s="152"/>
      <c r="K87" s="122"/>
      <c r="L87" s="45"/>
      <c r="M87" s="153"/>
      <c r="N87" s="128"/>
      <c r="O87" s="129"/>
      <c r="P87" s="121"/>
      <c r="Q87" s="154"/>
    </row>
    <row r="88">
      <c r="A88" s="147"/>
      <c r="B88" s="131"/>
      <c r="C88" s="132"/>
      <c r="D88" s="119"/>
      <c r="E88" s="133"/>
      <c r="F88" s="132"/>
      <c r="G88" s="134"/>
      <c r="H88" s="132"/>
      <c r="I88" s="135"/>
      <c r="J88" s="148"/>
      <c r="K88" s="132"/>
      <c r="L88" s="16"/>
      <c r="M88" s="149"/>
      <c r="N88" s="137"/>
      <c r="O88" s="118"/>
      <c r="P88" s="131"/>
      <c r="Q88" s="150"/>
    </row>
    <row r="89">
      <c r="A89" s="151"/>
      <c r="B89" s="121"/>
      <c r="C89" s="122"/>
      <c r="D89" s="123"/>
      <c r="E89" s="124"/>
      <c r="F89" s="122"/>
      <c r="G89" s="125"/>
      <c r="H89" s="122"/>
      <c r="I89" s="126"/>
      <c r="J89" s="152"/>
      <c r="K89" s="122"/>
      <c r="L89" s="45"/>
      <c r="M89" s="153"/>
      <c r="N89" s="128"/>
      <c r="O89" s="129"/>
      <c r="P89" s="121"/>
      <c r="Q89" s="154"/>
    </row>
    <row r="90">
      <c r="A90" s="147"/>
      <c r="B90" s="131"/>
      <c r="C90" s="132"/>
      <c r="D90" s="119"/>
      <c r="E90" s="133"/>
      <c r="F90" s="132"/>
      <c r="G90" s="134"/>
      <c r="H90" s="132"/>
      <c r="I90" s="135"/>
      <c r="J90" s="148"/>
      <c r="K90" s="132"/>
      <c r="L90" s="16"/>
      <c r="M90" s="149"/>
      <c r="N90" s="137"/>
      <c r="O90" s="118"/>
      <c r="P90" s="131"/>
      <c r="Q90" s="150"/>
    </row>
    <row r="91">
      <c r="A91" s="151"/>
      <c r="B91" s="121"/>
      <c r="C91" s="122"/>
      <c r="D91" s="123"/>
      <c r="E91" s="124"/>
      <c r="F91" s="122"/>
      <c r="G91" s="125"/>
      <c r="H91" s="122"/>
      <c r="I91" s="126"/>
      <c r="J91" s="152"/>
      <c r="K91" s="122"/>
      <c r="L91" s="45"/>
      <c r="M91" s="153"/>
      <c r="N91" s="128"/>
      <c r="O91" s="129"/>
      <c r="P91" s="121"/>
      <c r="Q91" s="154"/>
    </row>
    <row r="92">
      <c r="A92" s="147"/>
      <c r="B92" s="131"/>
      <c r="C92" s="132"/>
      <c r="D92" s="119"/>
      <c r="E92" s="133"/>
      <c r="F92" s="132"/>
      <c r="G92" s="134"/>
      <c r="H92" s="132"/>
      <c r="I92" s="135"/>
      <c r="J92" s="148"/>
      <c r="K92" s="132"/>
      <c r="L92" s="16"/>
      <c r="M92" s="149"/>
      <c r="N92" s="137"/>
      <c r="O92" s="118"/>
      <c r="P92" s="131"/>
      <c r="Q92" s="150"/>
    </row>
    <row r="93">
      <c r="A93" s="151"/>
      <c r="B93" s="121"/>
      <c r="C93" s="122"/>
      <c r="D93" s="123"/>
      <c r="E93" s="124"/>
      <c r="F93" s="122"/>
      <c r="G93" s="125"/>
      <c r="H93" s="122"/>
      <c r="I93" s="126"/>
      <c r="J93" s="152"/>
      <c r="K93" s="122"/>
      <c r="L93" s="45"/>
      <c r="M93" s="153"/>
      <c r="N93" s="128"/>
      <c r="O93" s="129"/>
      <c r="P93" s="121"/>
      <c r="Q93" s="154"/>
    </row>
    <row r="94">
      <c r="A94" s="147"/>
      <c r="B94" s="131"/>
      <c r="C94" s="132"/>
      <c r="D94" s="119"/>
      <c r="E94" s="133"/>
      <c r="F94" s="132"/>
      <c r="G94" s="134"/>
      <c r="H94" s="132"/>
      <c r="I94" s="135"/>
      <c r="J94" s="148"/>
      <c r="K94" s="132"/>
      <c r="L94" s="16"/>
      <c r="M94" s="149"/>
      <c r="N94" s="137"/>
      <c r="O94" s="118"/>
      <c r="P94" s="131"/>
      <c r="Q94" s="150"/>
    </row>
    <row r="95">
      <c r="A95" s="151"/>
      <c r="B95" s="121"/>
      <c r="C95" s="122"/>
      <c r="D95" s="123"/>
      <c r="E95" s="124"/>
      <c r="F95" s="122"/>
      <c r="G95" s="125"/>
      <c r="H95" s="122"/>
      <c r="I95" s="126"/>
      <c r="J95" s="152"/>
      <c r="K95" s="122"/>
      <c r="L95" s="45"/>
      <c r="M95" s="153"/>
      <c r="N95" s="128"/>
      <c r="O95" s="129"/>
      <c r="P95" s="121"/>
      <c r="Q95" s="154"/>
    </row>
    <row r="96">
      <c r="A96" s="147"/>
      <c r="B96" s="131"/>
      <c r="C96" s="132"/>
      <c r="D96" s="119"/>
      <c r="E96" s="133"/>
      <c r="F96" s="132"/>
      <c r="G96" s="134"/>
      <c r="H96" s="132"/>
      <c r="I96" s="135"/>
      <c r="J96" s="148"/>
      <c r="K96" s="132"/>
      <c r="L96" s="16"/>
      <c r="M96" s="149"/>
      <c r="N96" s="137"/>
      <c r="O96" s="118"/>
      <c r="P96" s="131"/>
      <c r="Q96" s="150"/>
    </row>
    <row r="97">
      <c r="A97" s="151"/>
      <c r="B97" s="121"/>
      <c r="C97" s="122"/>
      <c r="D97" s="123"/>
      <c r="E97" s="124"/>
      <c r="F97" s="122"/>
      <c r="G97" s="125"/>
      <c r="H97" s="122"/>
      <c r="I97" s="126"/>
      <c r="J97" s="152"/>
      <c r="K97" s="122"/>
      <c r="L97" s="45"/>
      <c r="M97" s="153"/>
      <c r="N97" s="128"/>
      <c r="O97" s="129"/>
      <c r="P97" s="121"/>
      <c r="Q97" s="154"/>
    </row>
    <row r="98">
      <c r="A98" s="147"/>
      <c r="B98" s="131"/>
      <c r="C98" s="132"/>
      <c r="D98" s="119"/>
      <c r="E98" s="133"/>
      <c r="F98" s="132"/>
      <c r="G98" s="134"/>
      <c r="H98" s="132"/>
      <c r="I98" s="135"/>
      <c r="J98" s="148"/>
      <c r="K98" s="132"/>
      <c r="L98" s="16"/>
      <c r="M98" s="149"/>
      <c r="N98" s="137"/>
      <c r="O98" s="118"/>
      <c r="P98" s="131"/>
      <c r="Q98" s="150"/>
    </row>
    <row r="99">
      <c r="A99" s="151"/>
      <c r="B99" s="121"/>
      <c r="C99" s="122"/>
      <c r="D99" s="123"/>
      <c r="E99" s="124"/>
      <c r="F99" s="122"/>
      <c r="G99" s="125"/>
      <c r="H99" s="122"/>
      <c r="I99" s="126"/>
      <c r="J99" s="152"/>
      <c r="K99" s="122"/>
      <c r="L99" s="45"/>
      <c r="M99" s="153"/>
      <c r="N99" s="128"/>
      <c r="O99" s="129"/>
      <c r="P99" s="121"/>
      <c r="Q99" s="154"/>
    </row>
    <row r="100">
      <c r="A100" s="147"/>
      <c r="B100" s="131"/>
      <c r="C100" s="132"/>
      <c r="D100" s="119"/>
      <c r="E100" s="133"/>
      <c r="F100" s="132"/>
      <c r="G100" s="134"/>
      <c r="H100" s="132"/>
      <c r="I100" s="135"/>
      <c r="J100" s="148"/>
      <c r="K100" s="132"/>
      <c r="L100" s="16"/>
      <c r="M100" s="149"/>
      <c r="N100" s="137"/>
      <c r="O100" s="118"/>
      <c r="P100" s="131"/>
      <c r="Q100" s="150"/>
    </row>
    <row r="101">
      <c r="A101" s="151"/>
      <c r="B101" s="121"/>
      <c r="C101" s="122"/>
      <c r="D101" s="123"/>
      <c r="E101" s="124"/>
      <c r="F101" s="122"/>
      <c r="G101" s="125"/>
      <c r="H101" s="122"/>
      <c r="I101" s="126"/>
      <c r="J101" s="152"/>
      <c r="K101" s="122"/>
      <c r="L101" s="45"/>
      <c r="M101" s="153"/>
      <c r="N101" s="128"/>
      <c r="O101" s="129"/>
      <c r="P101" s="121"/>
      <c r="Q101" s="154"/>
    </row>
    <row r="102">
      <c r="A102" s="147"/>
      <c r="B102" s="131"/>
      <c r="C102" s="132"/>
      <c r="D102" s="119"/>
      <c r="E102" s="133"/>
      <c r="F102" s="132"/>
      <c r="G102" s="134"/>
      <c r="H102" s="132"/>
      <c r="I102" s="135"/>
      <c r="J102" s="148"/>
      <c r="K102" s="132"/>
      <c r="L102" s="16"/>
      <c r="M102" s="149"/>
      <c r="N102" s="137"/>
      <c r="O102" s="118"/>
      <c r="P102" s="131"/>
      <c r="Q102" s="150"/>
    </row>
    <row r="103">
      <c r="A103" s="151"/>
      <c r="B103" s="121"/>
      <c r="C103" s="122"/>
      <c r="D103" s="123"/>
      <c r="E103" s="124"/>
      <c r="F103" s="122"/>
      <c r="G103" s="125"/>
      <c r="H103" s="122"/>
      <c r="I103" s="126"/>
      <c r="J103" s="152"/>
      <c r="K103" s="122"/>
      <c r="L103" s="45"/>
      <c r="M103" s="153"/>
      <c r="N103" s="128"/>
      <c r="O103" s="129"/>
      <c r="P103" s="121"/>
      <c r="Q103" s="154"/>
    </row>
    <row r="104">
      <c r="A104" s="147"/>
      <c r="B104" s="131"/>
      <c r="C104" s="132"/>
      <c r="D104" s="119"/>
      <c r="E104" s="133"/>
      <c r="F104" s="132"/>
      <c r="G104" s="134"/>
      <c r="H104" s="132"/>
      <c r="I104" s="135"/>
      <c r="J104" s="148"/>
      <c r="K104" s="132"/>
      <c r="L104" s="16"/>
      <c r="M104" s="149"/>
      <c r="N104" s="137"/>
      <c r="O104" s="118"/>
      <c r="P104" s="131"/>
      <c r="Q104" s="150"/>
    </row>
    <row r="105">
      <c r="A105" s="151"/>
      <c r="B105" s="121"/>
      <c r="C105" s="122"/>
      <c r="D105" s="123"/>
      <c r="E105" s="124"/>
      <c r="F105" s="122"/>
      <c r="G105" s="125"/>
      <c r="H105" s="122"/>
      <c r="I105" s="126"/>
      <c r="J105" s="152"/>
      <c r="K105" s="122"/>
      <c r="L105" s="45"/>
      <c r="M105" s="153"/>
      <c r="N105" s="128"/>
      <c r="O105" s="129"/>
      <c r="P105" s="121"/>
      <c r="Q105" s="154"/>
    </row>
    <row r="106">
      <c r="A106" s="147"/>
      <c r="B106" s="131"/>
      <c r="C106" s="132"/>
      <c r="D106" s="119"/>
      <c r="E106" s="133"/>
      <c r="F106" s="132"/>
      <c r="G106" s="134"/>
      <c r="H106" s="132"/>
      <c r="I106" s="135"/>
      <c r="J106" s="148"/>
      <c r="K106" s="132"/>
      <c r="L106" s="16"/>
      <c r="M106" s="149"/>
      <c r="N106" s="137"/>
      <c r="O106" s="118"/>
      <c r="P106" s="131"/>
      <c r="Q106" s="150"/>
    </row>
    <row r="107">
      <c r="A107" s="151"/>
      <c r="B107" s="121"/>
      <c r="C107" s="122"/>
      <c r="D107" s="123"/>
      <c r="E107" s="124"/>
      <c r="F107" s="122"/>
      <c r="G107" s="125"/>
      <c r="H107" s="122"/>
      <c r="I107" s="126"/>
      <c r="J107" s="152"/>
      <c r="K107" s="122"/>
      <c r="L107" s="45"/>
      <c r="M107" s="153"/>
      <c r="N107" s="128"/>
      <c r="O107" s="129"/>
      <c r="P107" s="121"/>
      <c r="Q107" s="154"/>
    </row>
    <row r="108">
      <c r="A108" s="147"/>
      <c r="B108" s="131"/>
      <c r="C108" s="132"/>
      <c r="D108" s="119"/>
      <c r="E108" s="133"/>
      <c r="F108" s="132"/>
      <c r="G108" s="134"/>
      <c r="H108" s="132"/>
      <c r="I108" s="135"/>
      <c r="J108" s="148"/>
      <c r="K108" s="132"/>
      <c r="L108" s="16"/>
      <c r="M108" s="149"/>
      <c r="N108" s="137"/>
      <c r="O108" s="118"/>
      <c r="P108" s="131"/>
      <c r="Q108" s="150"/>
    </row>
    <row r="109">
      <c r="A109" s="151"/>
      <c r="B109" s="121"/>
      <c r="C109" s="122"/>
      <c r="D109" s="123"/>
      <c r="E109" s="124"/>
      <c r="F109" s="122"/>
      <c r="G109" s="125"/>
      <c r="H109" s="122"/>
      <c r="I109" s="126"/>
      <c r="J109" s="152"/>
      <c r="K109" s="122"/>
      <c r="L109" s="45"/>
      <c r="M109" s="153"/>
      <c r="N109" s="128"/>
      <c r="O109" s="129"/>
      <c r="P109" s="121"/>
      <c r="Q109" s="154"/>
    </row>
    <row r="110">
      <c r="A110" s="147"/>
      <c r="B110" s="131"/>
      <c r="C110" s="132"/>
      <c r="D110" s="119"/>
      <c r="E110" s="133"/>
      <c r="F110" s="132"/>
      <c r="G110" s="134"/>
      <c r="H110" s="132"/>
      <c r="I110" s="135"/>
      <c r="J110" s="148"/>
      <c r="K110" s="132"/>
      <c r="L110" s="16"/>
      <c r="M110" s="149"/>
      <c r="N110" s="137"/>
      <c r="O110" s="118"/>
      <c r="P110" s="131"/>
      <c r="Q110" s="150"/>
    </row>
    <row r="111">
      <c r="A111" s="151"/>
      <c r="B111" s="121"/>
      <c r="C111" s="122"/>
      <c r="D111" s="123"/>
      <c r="E111" s="124"/>
      <c r="F111" s="122"/>
      <c r="G111" s="125"/>
      <c r="H111" s="122"/>
      <c r="I111" s="126"/>
      <c r="J111" s="152"/>
      <c r="K111" s="122"/>
      <c r="L111" s="45"/>
      <c r="M111" s="153"/>
      <c r="N111" s="128"/>
      <c r="O111" s="129"/>
      <c r="P111" s="121"/>
      <c r="Q111" s="154"/>
    </row>
    <row r="112">
      <c r="A112" s="147"/>
      <c r="B112" s="131"/>
      <c r="C112" s="132"/>
      <c r="D112" s="119"/>
      <c r="E112" s="133"/>
      <c r="F112" s="132"/>
      <c r="G112" s="134"/>
      <c r="H112" s="132"/>
      <c r="I112" s="135"/>
      <c r="J112" s="148"/>
      <c r="K112" s="132"/>
      <c r="L112" s="16"/>
      <c r="M112" s="149"/>
      <c r="N112" s="137"/>
      <c r="O112" s="118"/>
      <c r="P112" s="131"/>
      <c r="Q112" s="150"/>
    </row>
    <row r="113">
      <c r="A113" s="151"/>
      <c r="B113" s="121"/>
      <c r="C113" s="122"/>
      <c r="D113" s="123"/>
      <c r="E113" s="124"/>
      <c r="F113" s="122"/>
      <c r="G113" s="125"/>
      <c r="H113" s="122"/>
      <c r="I113" s="126"/>
      <c r="J113" s="152"/>
      <c r="K113" s="122"/>
      <c r="L113" s="45"/>
      <c r="M113" s="153"/>
      <c r="N113" s="128"/>
      <c r="O113" s="129"/>
      <c r="P113" s="121"/>
      <c r="Q113" s="154"/>
    </row>
    <row r="114">
      <c r="A114" s="147"/>
      <c r="B114" s="131"/>
      <c r="C114" s="132"/>
      <c r="D114" s="119"/>
      <c r="E114" s="133"/>
      <c r="F114" s="132"/>
      <c r="G114" s="134"/>
      <c r="H114" s="132"/>
      <c r="I114" s="135"/>
      <c r="J114" s="148"/>
      <c r="K114" s="132"/>
      <c r="L114" s="16"/>
      <c r="M114" s="149"/>
      <c r="N114" s="137"/>
      <c r="O114" s="118"/>
      <c r="P114" s="131"/>
      <c r="Q114" s="150"/>
    </row>
    <row r="115">
      <c r="A115" s="151"/>
      <c r="B115" s="121"/>
      <c r="C115" s="122"/>
      <c r="D115" s="123"/>
      <c r="E115" s="124"/>
      <c r="F115" s="122"/>
      <c r="G115" s="125"/>
      <c r="H115" s="122"/>
      <c r="I115" s="126"/>
      <c r="J115" s="152"/>
      <c r="K115" s="122"/>
      <c r="L115" s="45"/>
      <c r="M115" s="153"/>
      <c r="N115" s="128"/>
      <c r="O115" s="129"/>
      <c r="P115" s="121"/>
      <c r="Q115" s="154"/>
    </row>
    <row r="116">
      <c r="A116" s="147"/>
      <c r="B116" s="131"/>
      <c r="C116" s="132"/>
      <c r="D116" s="119"/>
      <c r="E116" s="133"/>
      <c r="F116" s="132"/>
      <c r="G116" s="134"/>
      <c r="H116" s="132"/>
      <c r="I116" s="135"/>
      <c r="J116" s="148"/>
      <c r="K116" s="132"/>
      <c r="L116" s="16"/>
      <c r="M116" s="149"/>
      <c r="N116" s="137"/>
      <c r="O116" s="118"/>
      <c r="P116" s="131"/>
      <c r="Q116" s="150"/>
    </row>
    <row r="117">
      <c r="A117" s="151"/>
      <c r="B117" s="121"/>
      <c r="C117" s="122"/>
      <c r="D117" s="123"/>
      <c r="E117" s="124"/>
      <c r="F117" s="122"/>
      <c r="G117" s="125"/>
      <c r="H117" s="122"/>
      <c r="I117" s="126"/>
      <c r="J117" s="152"/>
      <c r="K117" s="122"/>
      <c r="L117" s="45"/>
      <c r="M117" s="153"/>
      <c r="N117" s="128"/>
      <c r="O117" s="129"/>
      <c r="P117" s="121"/>
      <c r="Q117" s="154"/>
    </row>
    <row r="118">
      <c r="A118" s="147"/>
      <c r="B118" s="131"/>
      <c r="C118" s="132"/>
      <c r="D118" s="119"/>
      <c r="E118" s="133"/>
      <c r="F118" s="132"/>
      <c r="G118" s="134"/>
      <c r="H118" s="132"/>
      <c r="I118" s="135"/>
      <c r="J118" s="148"/>
      <c r="K118" s="132"/>
      <c r="L118" s="16"/>
      <c r="M118" s="149"/>
      <c r="N118" s="137"/>
      <c r="O118" s="118"/>
      <c r="P118" s="131"/>
      <c r="Q118" s="150"/>
    </row>
    <row r="119">
      <c r="A119" s="151"/>
      <c r="B119" s="121"/>
      <c r="C119" s="122"/>
      <c r="D119" s="123"/>
      <c r="E119" s="124"/>
      <c r="F119" s="122"/>
      <c r="G119" s="125"/>
      <c r="H119" s="122"/>
      <c r="I119" s="126"/>
      <c r="J119" s="152"/>
      <c r="K119" s="122"/>
      <c r="L119" s="45"/>
      <c r="M119" s="153"/>
      <c r="N119" s="128"/>
      <c r="O119" s="129"/>
      <c r="P119" s="121"/>
      <c r="Q119" s="154"/>
    </row>
    <row r="120">
      <c r="A120" s="147"/>
      <c r="B120" s="131"/>
      <c r="C120" s="132"/>
      <c r="D120" s="119"/>
      <c r="E120" s="133"/>
      <c r="F120" s="132"/>
      <c r="G120" s="134"/>
      <c r="H120" s="132"/>
      <c r="I120" s="135"/>
      <c r="J120" s="148"/>
      <c r="K120" s="132"/>
      <c r="L120" s="16"/>
      <c r="M120" s="149"/>
      <c r="N120" s="137"/>
      <c r="O120" s="118"/>
      <c r="P120" s="131"/>
      <c r="Q120" s="150"/>
    </row>
    <row r="121">
      <c r="A121" s="151"/>
      <c r="B121" s="121"/>
      <c r="C121" s="122"/>
      <c r="D121" s="123"/>
      <c r="E121" s="124"/>
      <c r="F121" s="122"/>
      <c r="G121" s="125"/>
      <c r="H121" s="122"/>
      <c r="I121" s="126"/>
      <c r="J121" s="152"/>
      <c r="K121" s="122"/>
      <c r="L121" s="45"/>
      <c r="M121" s="153"/>
      <c r="N121" s="128"/>
      <c r="O121" s="129"/>
      <c r="P121" s="121"/>
      <c r="Q121" s="154"/>
    </row>
    <row r="122">
      <c r="A122" s="147"/>
      <c r="B122" s="131"/>
      <c r="C122" s="132"/>
      <c r="D122" s="119"/>
      <c r="E122" s="133"/>
      <c r="F122" s="132"/>
      <c r="G122" s="134"/>
      <c r="H122" s="132"/>
      <c r="I122" s="135"/>
      <c r="J122" s="148"/>
      <c r="K122" s="132"/>
      <c r="L122" s="16"/>
      <c r="M122" s="149"/>
      <c r="N122" s="137"/>
      <c r="O122" s="118"/>
      <c r="P122" s="131"/>
      <c r="Q122" s="150"/>
    </row>
    <row r="123">
      <c r="A123" s="151"/>
      <c r="B123" s="121"/>
      <c r="C123" s="122"/>
      <c r="D123" s="123"/>
      <c r="E123" s="124"/>
      <c r="F123" s="122"/>
      <c r="G123" s="125"/>
      <c r="H123" s="122"/>
      <c r="I123" s="126"/>
      <c r="J123" s="152"/>
      <c r="K123" s="122"/>
      <c r="L123" s="45"/>
      <c r="M123" s="153"/>
      <c r="N123" s="128"/>
      <c r="O123" s="129"/>
      <c r="P123" s="121"/>
      <c r="Q123" s="154"/>
    </row>
    <row r="124">
      <c r="A124" s="147"/>
      <c r="B124" s="131"/>
      <c r="C124" s="132"/>
      <c r="D124" s="119"/>
      <c r="E124" s="133"/>
      <c r="F124" s="132"/>
      <c r="G124" s="134"/>
      <c r="H124" s="132"/>
      <c r="I124" s="135"/>
      <c r="J124" s="148"/>
      <c r="K124" s="132"/>
      <c r="L124" s="16"/>
      <c r="M124" s="149"/>
      <c r="N124" s="137"/>
      <c r="O124" s="118"/>
      <c r="P124" s="131"/>
      <c r="Q124" s="150"/>
    </row>
    <row r="125">
      <c r="A125" s="151"/>
      <c r="B125" s="121"/>
      <c r="C125" s="122"/>
      <c r="D125" s="123"/>
      <c r="E125" s="124"/>
      <c r="F125" s="122"/>
      <c r="G125" s="125"/>
      <c r="H125" s="122"/>
      <c r="I125" s="126"/>
      <c r="J125" s="152"/>
      <c r="K125" s="122"/>
      <c r="L125" s="45"/>
      <c r="M125" s="153"/>
      <c r="N125" s="128"/>
      <c r="O125" s="129"/>
      <c r="P125" s="121"/>
      <c r="Q125" s="154"/>
    </row>
    <row r="126">
      <c r="A126" s="147"/>
      <c r="B126" s="131"/>
      <c r="C126" s="132"/>
      <c r="D126" s="119"/>
      <c r="E126" s="133"/>
      <c r="F126" s="132"/>
      <c r="G126" s="134"/>
      <c r="H126" s="132"/>
      <c r="I126" s="135"/>
      <c r="J126" s="148"/>
      <c r="K126" s="132"/>
      <c r="L126" s="16"/>
      <c r="M126" s="149"/>
      <c r="N126" s="137"/>
      <c r="O126" s="118"/>
      <c r="P126" s="131"/>
      <c r="Q126" s="150"/>
    </row>
    <row r="127">
      <c r="A127" s="151"/>
      <c r="B127" s="121"/>
      <c r="C127" s="122"/>
      <c r="D127" s="123"/>
      <c r="E127" s="124"/>
      <c r="F127" s="122"/>
      <c r="G127" s="125"/>
      <c r="H127" s="122"/>
      <c r="I127" s="126"/>
      <c r="J127" s="152"/>
      <c r="K127" s="122"/>
      <c r="L127" s="45"/>
      <c r="M127" s="153"/>
      <c r="N127" s="128"/>
      <c r="O127" s="129"/>
      <c r="P127" s="121"/>
      <c r="Q127" s="154"/>
    </row>
    <row r="128">
      <c r="A128" s="147"/>
      <c r="B128" s="131"/>
      <c r="C128" s="132"/>
      <c r="D128" s="119"/>
      <c r="E128" s="133"/>
      <c r="F128" s="132"/>
      <c r="G128" s="134"/>
      <c r="H128" s="132"/>
      <c r="I128" s="135"/>
      <c r="J128" s="148"/>
      <c r="K128" s="132"/>
      <c r="L128" s="16"/>
      <c r="M128" s="149"/>
      <c r="N128" s="137"/>
      <c r="O128" s="118"/>
      <c r="P128" s="131"/>
      <c r="Q128" s="150"/>
    </row>
    <row r="129">
      <c r="A129" s="151"/>
      <c r="B129" s="121"/>
      <c r="C129" s="122"/>
      <c r="D129" s="123"/>
      <c r="E129" s="124"/>
      <c r="F129" s="122"/>
      <c r="G129" s="125"/>
      <c r="H129" s="122"/>
      <c r="I129" s="126"/>
      <c r="J129" s="152"/>
      <c r="K129" s="122"/>
      <c r="L129" s="45"/>
      <c r="M129" s="153"/>
      <c r="N129" s="128"/>
      <c r="O129" s="129"/>
      <c r="P129" s="121"/>
      <c r="Q129" s="154"/>
    </row>
    <row r="130">
      <c r="A130" s="147"/>
      <c r="B130" s="131"/>
      <c r="C130" s="132"/>
      <c r="D130" s="119"/>
      <c r="E130" s="133"/>
      <c r="F130" s="132"/>
      <c r="G130" s="134"/>
      <c r="H130" s="132"/>
      <c r="I130" s="135"/>
      <c r="J130" s="148"/>
      <c r="K130" s="132"/>
      <c r="L130" s="16"/>
      <c r="M130" s="149"/>
      <c r="N130" s="137"/>
      <c r="O130" s="118"/>
      <c r="P130" s="131"/>
      <c r="Q130" s="150"/>
    </row>
    <row r="131">
      <c r="A131" s="151"/>
      <c r="B131" s="121"/>
      <c r="C131" s="122"/>
      <c r="D131" s="123"/>
      <c r="E131" s="124"/>
      <c r="F131" s="122"/>
      <c r="G131" s="125"/>
      <c r="H131" s="122"/>
      <c r="I131" s="126"/>
      <c r="J131" s="152"/>
      <c r="K131" s="122"/>
      <c r="L131" s="45"/>
      <c r="M131" s="153"/>
      <c r="N131" s="128"/>
      <c r="O131" s="129"/>
      <c r="P131" s="121"/>
      <c r="Q131" s="154"/>
    </row>
    <row r="132">
      <c r="A132" s="147"/>
      <c r="B132" s="131"/>
      <c r="C132" s="132"/>
      <c r="D132" s="119"/>
      <c r="E132" s="133"/>
      <c r="F132" s="132"/>
      <c r="G132" s="134"/>
      <c r="H132" s="132"/>
      <c r="I132" s="135"/>
      <c r="J132" s="148"/>
      <c r="K132" s="132"/>
      <c r="L132" s="16"/>
      <c r="M132" s="149"/>
      <c r="N132" s="137"/>
      <c r="O132" s="118"/>
      <c r="P132" s="131"/>
      <c r="Q132" s="150"/>
    </row>
    <row r="133">
      <c r="A133" s="151"/>
      <c r="B133" s="121"/>
      <c r="C133" s="122"/>
      <c r="D133" s="123"/>
      <c r="E133" s="124"/>
      <c r="F133" s="122"/>
      <c r="G133" s="125"/>
      <c r="H133" s="122"/>
      <c r="I133" s="126"/>
      <c r="J133" s="152"/>
      <c r="K133" s="122"/>
      <c r="L133" s="45"/>
      <c r="M133" s="153"/>
      <c r="N133" s="128"/>
      <c r="O133" s="129"/>
      <c r="P133" s="121"/>
      <c r="Q133" s="154"/>
    </row>
    <row r="134">
      <c r="A134" s="147"/>
      <c r="B134" s="131"/>
      <c r="C134" s="132"/>
      <c r="D134" s="119"/>
      <c r="E134" s="133"/>
      <c r="F134" s="132"/>
      <c r="G134" s="134"/>
      <c r="H134" s="132"/>
      <c r="I134" s="135"/>
      <c r="J134" s="148"/>
      <c r="K134" s="132"/>
      <c r="L134" s="16"/>
      <c r="M134" s="149"/>
      <c r="N134" s="137"/>
      <c r="O134" s="118"/>
      <c r="P134" s="131"/>
      <c r="Q134" s="150"/>
    </row>
    <row r="135">
      <c r="A135" s="151"/>
      <c r="B135" s="121"/>
      <c r="C135" s="122"/>
      <c r="D135" s="123"/>
      <c r="E135" s="124"/>
      <c r="F135" s="122"/>
      <c r="G135" s="125"/>
      <c r="H135" s="122"/>
      <c r="I135" s="126"/>
      <c r="J135" s="152"/>
      <c r="K135" s="122"/>
      <c r="L135" s="45"/>
      <c r="M135" s="153"/>
      <c r="N135" s="128"/>
      <c r="O135" s="129"/>
      <c r="P135" s="121"/>
      <c r="Q135" s="154"/>
    </row>
    <row r="136">
      <c r="A136" s="147"/>
      <c r="B136" s="131"/>
      <c r="C136" s="132"/>
      <c r="D136" s="119"/>
      <c r="E136" s="133"/>
      <c r="F136" s="132"/>
      <c r="G136" s="134"/>
      <c r="H136" s="132"/>
      <c r="I136" s="135"/>
      <c r="J136" s="148"/>
      <c r="K136" s="132"/>
      <c r="L136" s="16"/>
      <c r="M136" s="149"/>
      <c r="N136" s="137"/>
      <c r="O136" s="118"/>
      <c r="P136" s="131"/>
      <c r="Q136" s="150"/>
    </row>
    <row r="137">
      <c r="A137" s="151"/>
      <c r="B137" s="121"/>
      <c r="C137" s="122"/>
      <c r="D137" s="123"/>
      <c r="E137" s="124"/>
      <c r="F137" s="122"/>
      <c r="G137" s="125"/>
      <c r="H137" s="122"/>
      <c r="I137" s="126"/>
      <c r="J137" s="152"/>
      <c r="K137" s="122"/>
      <c r="L137" s="45"/>
      <c r="M137" s="153"/>
      <c r="N137" s="128"/>
      <c r="O137" s="129"/>
      <c r="P137" s="121"/>
      <c r="Q137" s="154"/>
    </row>
    <row r="138">
      <c r="A138" s="147"/>
      <c r="B138" s="131"/>
      <c r="C138" s="132"/>
      <c r="D138" s="119"/>
      <c r="E138" s="133"/>
      <c r="F138" s="132"/>
      <c r="G138" s="134"/>
      <c r="H138" s="132"/>
      <c r="I138" s="135"/>
      <c r="J138" s="148"/>
      <c r="K138" s="132"/>
      <c r="L138" s="16"/>
      <c r="M138" s="149"/>
      <c r="N138" s="137"/>
      <c r="O138" s="118"/>
      <c r="P138" s="131"/>
      <c r="Q138" s="150"/>
    </row>
    <row r="139">
      <c r="A139" s="151"/>
      <c r="B139" s="121"/>
      <c r="C139" s="122"/>
      <c r="D139" s="123"/>
      <c r="E139" s="124"/>
      <c r="F139" s="122"/>
      <c r="G139" s="125"/>
      <c r="H139" s="122"/>
      <c r="I139" s="126"/>
      <c r="J139" s="152"/>
      <c r="K139" s="122"/>
      <c r="L139" s="45"/>
      <c r="M139" s="153"/>
      <c r="N139" s="128"/>
      <c r="O139" s="129"/>
      <c r="P139" s="121"/>
      <c r="Q139" s="154"/>
    </row>
    <row r="140">
      <c r="A140" s="147"/>
      <c r="B140" s="131"/>
      <c r="C140" s="132"/>
      <c r="D140" s="119"/>
      <c r="E140" s="133"/>
      <c r="F140" s="132"/>
      <c r="G140" s="134"/>
      <c r="H140" s="132"/>
      <c r="I140" s="135"/>
      <c r="J140" s="148"/>
      <c r="K140" s="132"/>
      <c r="L140" s="16"/>
      <c r="M140" s="149"/>
      <c r="N140" s="137"/>
      <c r="O140" s="118"/>
      <c r="P140" s="131"/>
      <c r="Q140" s="150"/>
    </row>
    <row r="141">
      <c r="A141" s="151"/>
      <c r="B141" s="121"/>
      <c r="C141" s="122"/>
      <c r="D141" s="123"/>
      <c r="E141" s="124"/>
      <c r="F141" s="122"/>
      <c r="G141" s="125"/>
      <c r="H141" s="122"/>
      <c r="I141" s="126"/>
      <c r="J141" s="152"/>
      <c r="K141" s="122"/>
      <c r="L141" s="45"/>
      <c r="M141" s="153"/>
      <c r="N141" s="128"/>
      <c r="O141" s="129"/>
      <c r="P141" s="121"/>
      <c r="Q141" s="154"/>
    </row>
    <row r="142">
      <c r="A142" s="147"/>
      <c r="B142" s="131"/>
      <c r="C142" s="132"/>
      <c r="D142" s="119"/>
      <c r="E142" s="133"/>
      <c r="F142" s="132"/>
      <c r="G142" s="134"/>
      <c r="H142" s="132"/>
      <c r="I142" s="135"/>
      <c r="J142" s="148"/>
      <c r="K142" s="132"/>
      <c r="L142" s="16"/>
      <c r="M142" s="149"/>
      <c r="N142" s="137"/>
      <c r="O142" s="118"/>
      <c r="P142" s="131"/>
      <c r="Q142" s="150"/>
    </row>
    <row r="143">
      <c r="A143" s="151"/>
      <c r="B143" s="121"/>
      <c r="C143" s="122"/>
      <c r="D143" s="123"/>
      <c r="E143" s="124"/>
      <c r="F143" s="122"/>
      <c r="G143" s="125"/>
      <c r="H143" s="122"/>
      <c r="I143" s="126"/>
      <c r="J143" s="152"/>
      <c r="K143" s="122"/>
      <c r="L143" s="45"/>
      <c r="M143" s="153"/>
      <c r="N143" s="128"/>
      <c r="O143" s="129"/>
      <c r="P143" s="121"/>
      <c r="Q143" s="154"/>
    </row>
    <row r="144">
      <c r="A144" s="147"/>
      <c r="B144" s="131"/>
      <c r="C144" s="132"/>
      <c r="D144" s="119"/>
      <c r="E144" s="133"/>
      <c r="F144" s="132"/>
      <c r="G144" s="134"/>
      <c r="H144" s="132"/>
      <c r="I144" s="135"/>
      <c r="J144" s="148"/>
      <c r="K144" s="132"/>
      <c r="L144" s="16"/>
      <c r="M144" s="149"/>
      <c r="N144" s="137"/>
      <c r="O144" s="118"/>
      <c r="P144" s="131"/>
      <c r="Q144" s="150"/>
    </row>
    <row r="145">
      <c r="A145" s="151"/>
      <c r="B145" s="121"/>
      <c r="C145" s="122"/>
      <c r="D145" s="123"/>
      <c r="E145" s="124"/>
      <c r="F145" s="122"/>
      <c r="G145" s="125"/>
      <c r="H145" s="122"/>
      <c r="I145" s="126"/>
      <c r="J145" s="152"/>
      <c r="K145" s="122"/>
      <c r="L145" s="45"/>
      <c r="M145" s="153"/>
      <c r="N145" s="128"/>
      <c r="O145" s="129"/>
      <c r="P145" s="121"/>
      <c r="Q145" s="154"/>
    </row>
    <row r="146">
      <c r="A146" s="147"/>
      <c r="B146" s="131"/>
      <c r="C146" s="132"/>
      <c r="D146" s="119"/>
      <c r="E146" s="133"/>
      <c r="F146" s="132"/>
      <c r="G146" s="134"/>
      <c r="H146" s="132"/>
      <c r="I146" s="135"/>
      <c r="J146" s="148"/>
      <c r="K146" s="132"/>
      <c r="L146" s="16"/>
      <c r="M146" s="149"/>
      <c r="N146" s="137"/>
      <c r="O146" s="118"/>
      <c r="P146" s="131"/>
      <c r="Q146" s="150"/>
    </row>
    <row r="147">
      <c r="A147" s="151"/>
      <c r="B147" s="121"/>
      <c r="C147" s="122"/>
      <c r="D147" s="123"/>
      <c r="E147" s="124"/>
      <c r="F147" s="122"/>
      <c r="G147" s="125"/>
      <c r="H147" s="122"/>
      <c r="I147" s="126"/>
      <c r="J147" s="152"/>
      <c r="K147" s="122"/>
      <c r="L147" s="45"/>
      <c r="M147" s="153"/>
      <c r="N147" s="128"/>
      <c r="O147" s="129"/>
      <c r="P147" s="121"/>
      <c r="Q147" s="154"/>
    </row>
    <row r="148">
      <c r="A148" s="147"/>
      <c r="B148" s="131"/>
      <c r="C148" s="132"/>
      <c r="D148" s="119"/>
      <c r="E148" s="133"/>
      <c r="F148" s="132"/>
      <c r="G148" s="134"/>
      <c r="H148" s="132"/>
      <c r="I148" s="135"/>
      <c r="J148" s="148"/>
      <c r="K148" s="132"/>
      <c r="L148" s="16"/>
      <c r="M148" s="149"/>
      <c r="N148" s="137"/>
      <c r="O148" s="118"/>
      <c r="P148" s="131"/>
      <c r="Q148" s="150"/>
    </row>
    <row r="149">
      <c r="A149" s="151"/>
      <c r="B149" s="121"/>
      <c r="C149" s="122"/>
      <c r="D149" s="123"/>
      <c r="E149" s="124"/>
      <c r="F149" s="122"/>
      <c r="G149" s="125"/>
      <c r="H149" s="122"/>
      <c r="I149" s="126"/>
      <c r="J149" s="152"/>
      <c r="K149" s="122"/>
      <c r="L149" s="45"/>
      <c r="M149" s="153"/>
      <c r="N149" s="128"/>
      <c r="O149" s="129"/>
      <c r="P149" s="121"/>
      <c r="Q149" s="154"/>
    </row>
    <row r="150">
      <c r="A150" s="147"/>
      <c r="B150" s="131"/>
      <c r="C150" s="132"/>
      <c r="D150" s="119"/>
      <c r="E150" s="133"/>
      <c r="F150" s="132"/>
      <c r="G150" s="134"/>
      <c r="H150" s="132"/>
      <c r="I150" s="135"/>
      <c r="J150" s="148"/>
      <c r="K150" s="132"/>
      <c r="L150" s="16"/>
      <c r="M150" s="149"/>
      <c r="N150" s="137"/>
      <c r="O150" s="118"/>
      <c r="P150" s="131"/>
      <c r="Q150" s="150"/>
    </row>
    <row r="151">
      <c r="A151" s="151"/>
      <c r="B151" s="121"/>
      <c r="C151" s="122"/>
      <c r="D151" s="123"/>
      <c r="E151" s="124"/>
      <c r="F151" s="122"/>
      <c r="G151" s="125"/>
      <c r="H151" s="122"/>
      <c r="I151" s="126"/>
      <c r="J151" s="152"/>
      <c r="K151" s="122"/>
      <c r="L151" s="45"/>
      <c r="M151" s="153"/>
      <c r="N151" s="128"/>
      <c r="O151" s="129"/>
      <c r="P151" s="121"/>
      <c r="Q151" s="154"/>
    </row>
    <row r="152">
      <c r="A152" s="147"/>
      <c r="B152" s="131"/>
      <c r="C152" s="132"/>
      <c r="D152" s="119"/>
      <c r="E152" s="133"/>
      <c r="F152" s="132"/>
      <c r="G152" s="134"/>
      <c r="H152" s="132"/>
      <c r="I152" s="135"/>
      <c r="J152" s="148"/>
      <c r="K152" s="132"/>
      <c r="L152" s="16"/>
      <c r="M152" s="149"/>
      <c r="N152" s="137"/>
      <c r="O152" s="118"/>
      <c r="P152" s="131"/>
      <c r="Q152" s="150"/>
    </row>
    <row r="153">
      <c r="A153" s="151"/>
      <c r="B153" s="121"/>
      <c r="C153" s="122"/>
      <c r="D153" s="123"/>
      <c r="E153" s="124"/>
      <c r="F153" s="122"/>
      <c r="G153" s="125"/>
      <c r="H153" s="122"/>
      <c r="I153" s="126"/>
      <c r="J153" s="152"/>
      <c r="K153" s="122"/>
      <c r="L153" s="45"/>
      <c r="M153" s="153"/>
      <c r="N153" s="128"/>
      <c r="O153" s="129"/>
      <c r="P153" s="121"/>
      <c r="Q153" s="154"/>
    </row>
    <row r="154">
      <c r="A154" s="147"/>
      <c r="B154" s="131"/>
      <c r="C154" s="132"/>
      <c r="D154" s="119"/>
      <c r="E154" s="133"/>
      <c r="F154" s="132"/>
      <c r="G154" s="134"/>
      <c r="H154" s="132"/>
      <c r="I154" s="135"/>
      <c r="J154" s="148"/>
      <c r="K154" s="132"/>
      <c r="L154" s="16"/>
      <c r="M154" s="149"/>
      <c r="N154" s="137"/>
      <c r="O154" s="118"/>
      <c r="P154" s="131"/>
      <c r="Q154" s="150"/>
    </row>
    <row r="155">
      <c r="A155" s="151"/>
      <c r="B155" s="121"/>
      <c r="C155" s="122"/>
      <c r="D155" s="123"/>
      <c r="E155" s="124"/>
      <c r="F155" s="122"/>
      <c r="G155" s="125"/>
      <c r="H155" s="122"/>
      <c r="I155" s="126"/>
      <c r="J155" s="152"/>
      <c r="K155" s="122"/>
      <c r="L155" s="45"/>
      <c r="M155" s="153"/>
      <c r="N155" s="128"/>
      <c r="O155" s="129"/>
      <c r="P155" s="121"/>
      <c r="Q155" s="154"/>
    </row>
    <row r="156">
      <c r="A156" s="147"/>
      <c r="B156" s="131"/>
      <c r="C156" s="132"/>
      <c r="D156" s="119"/>
      <c r="E156" s="133"/>
      <c r="F156" s="132"/>
      <c r="G156" s="134"/>
      <c r="H156" s="132"/>
      <c r="I156" s="135"/>
      <c r="J156" s="148"/>
      <c r="K156" s="132"/>
      <c r="L156" s="16"/>
      <c r="M156" s="149"/>
      <c r="N156" s="137"/>
      <c r="O156" s="118"/>
      <c r="P156" s="131"/>
      <c r="Q156" s="150"/>
    </row>
    <row r="157">
      <c r="A157" s="151"/>
      <c r="B157" s="121"/>
      <c r="C157" s="122"/>
      <c r="D157" s="123"/>
      <c r="E157" s="124"/>
      <c r="F157" s="122"/>
      <c r="G157" s="125"/>
      <c r="H157" s="122"/>
      <c r="I157" s="126"/>
      <c r="J157" s="152"/>
      <c r="K157" s="122"/>
      <c r="L157" s="45"/>
      <c r="M157" s="153"/>
      <c r="N157" s="128"/>
      <c r="O157" s="129"/>
      <c r="P157" s="121"/>
      <c r="Q157" s="154"/>
    </row>
    <row r="158">
      <c r="A158" s="147"/>
      <c r="B158" s="131"/>
      <c r="C158" s="132"/>
      <c r="D158" s="119"/>
      <c r="E158" s="133"/>
      <c r="F158" s="132"/>
      <c r="G158" s="134"/>
      <c r="H158" s="132"/>
      <c r="I158" s="135"/>
      <c r="J158" s="148"/>
      <c r="K158" s="132"/>
      <c r="L158" s="16"/>
      <c r="M158" s="149"/>
      <c r="N158" s="137"/>
      <c r="O158" s="118"/>
      <c r="P158" s="131"/>
      <c r="Q158" s="150"/>
    </row>
    <row r="159">
      <c r="A159" s="151"/>
      <c r="B159" s="121"/>
      <c r="C159" s="122"/>
      <c r="D159" s="123"/>
      <c r="E159" s="124"/>
      <c r="F159" s="122"/>
      <c r="G159" s="125"/>
      <c r="H159" s="122"/>
      <c r="I159" s="126"/>
      <c r="J159" s="152"/>
      <c r="K159" s="122"/>
      <c r="L159" s="45"/>
      <c r="M159" s="153"/>
      <c r="N159" s="128"/>
      <c r="O159" s="129"/>
      <c r="P159" s="121"/>
      <c r="Q159" s="154"/>
    </row>
    <row r="160">
      <c r="A160" s="147"/>
      <c r="B160" s="131"/>
      <c r="C160" s="132"/>
      <c r="D160" s="119"/>
      <c r="E160" s="133"/>
      <c r="F160" s="132"/>
      <c r="G160" s="134"/>
      <c r="H160" s="132"/>
      <c r="I160" s="135"/>
      <c r="J160" s="148"/>
      <c r="K160" s="132"/>
      <c r="L160" s="16"/>
      <c r="M160" s="149"/>
      <c r="N160" s="137"/>
      <c r="O160" s="118"/>
      <c r="P160" s="131"/>
      <c r="Q160" s="150"/>
    </row>
    <row r="161">
      <c r="A161" s="151"/>
      <c r="B161" s="121"/>
      <c r="C161" s="122"/>
      <c r="D161" s="123"/>
      <c r="E161" s="124"/>
      <c r="F161" s="122"/>
      <c r="G161" s="125"/>
      <c r="H161" s="122"/>
      <c r="I161" s="126"/>
      <c r="J161" s="152"/>
      <c r="K161" s="122"/>
      <c r="L161" s="45"/>
      <c r="M161" s="153"/>
      <c r="N161" s="128"/>
      <c r="O161" s="129"/>
      <c r="P161" s="121"/>
      <c r="Q161" s="154"/>
    </row>
    <row r="162">
      <c r="A162" s="147"/>
      <c r="B162" s="131"/>
      <c r="C162" s="132"/>
      <c r="D162" s="119"/>
      <c r="E162" s="133"/>
      <c r="F162" s="132"/>
      <c r="G162" s="134"/>
      <c r="H162" s="132"/>
      <c r="I162" s="135"/>
      <c r="J162" s="148"/>
      <c r="K162" s="132"/>
      <c r="L162" s="16"/>
      <c r="M162" s="149"/>
      <c r="N162" s="137"/>
      <c r="O162" s="118"/>
      <c r="P162" s="131"/>
      <c r="Q162" s="150"/>
    </row>
    <row r="163">
      <c r="A163" s="151"/>
      <c r="B163" s="121"/>
      <c r="C163" s="122"/>
      <c r="D163" s="123"/>
      <c r="E163" s="124"/>
      <c r="F163" s="122"/>
      <c r="G163" s="125"/>
      <c r="H163" s="122"/>
      <c r="I163" s="126"/>
      <c r="J163" s="152"/>
      <c r="K163" s="122"/>
      <c r="L163" s="45"/>
      <c r="M163" s="153"/>
      <c r="N163" s="128"/>
      <c r="O163" s="129"/>
      <c r="P163" s="121"/>
      <c r="Q163" s="154"/>
    </row>
    <row r="164">
      <c r="A164" s="147"/>
      <c r="B164" s="131"/>
      <c r="C164" s="132"/>
      <c r="D164" s="119"/>
      <c r="E164" s="133"/>
      <c r="F164" s="132"/>
      <c r="G164" s="134"/>
      <c r="H164" s="132"/>
      <c r="I164" s="135"/>
      <c r="J164" s="148"/>
      <c r="K164" s="132"/>
      <c r="L164" s="16"/>
      <c r="M164" s="149"/>
      <c r="N164" s="137"/>
      <c r="O164" s="118"/>
      <c r="P164" s="131"/>
      <c r="Q164" s="150"/>
    </row>
    <row r="165">
      <c r="A165" s="151"/>
      <c r="B165" s="121"/>
      <c r="C165" s="122"/>
      <c r="D165" s="123"/>
      <c r="E165" s="124"/>
      <c r="F165" s="122"/>
      <c r="G165" s="125"/>
      <c r="H165" s="122"/>
      <c r="I165" s="126"/>
      <c r="J165" s="152"/>
      <c r="K165" s="122"/>
      <c r="L165" s="45"/>
      <c r="M165" s="153"/>
      <c r="N165" s="128"/>
      <c r="O165" s="129"/>
      <c r="P165" s="121"/>
      <c r="Q165" s="154"/>
    </row>
    <row r="166">
      <c r="A166" s="147"/>
      <c r="B166" s="131"/>
      <c r="C166" s="132"/>
      <c r="D166" s="119"/>
      <c r="E166" s="133"/>
      <c r="F166" s="132"/>
      <c r="G166" s="134"/>
      <c r="H166" s="132"/>
      <c r="I166" s="135"/>
      <c r="J166" s="148"/>
      <c r="K166" s="132"/>
      <c r="L166" s="16"/>
      <c r="M166" s="149"/>
      <c r="N166" s="137"/>
      <c r="O166" s="118"/>
      <c r="P166" s="131"/>
      <c r="Q166" s="150"/>
    </row>
    <row r="167">
      <c r="A167" s="151"/>
      <c r="B167" s="121"/>
      <c r="C167" s="122"/>
      <c r="D167" s="123"/>
      <c r="E167" s="124"/>
      <c r="F167" s="122"/>
      <c r="G167" s="125"/>
      <c r="H167" s="122"/>
      <c r="I167" s="126"/>
      <c r="J167" s="152"/>
      <c r="K167" s="122"/>
      <c r="L167" s="45"/>
      <c r="M167" s="153"/>
      <c r="N167" s="128"/>
      <c r="O167" s="129"/>
      <c r="P167" s="121"/>
      <c r="Q167" s="154"/>
    </row>
    <row r="168">
      <c r="A168" s="147"/>
      <c r="B168" s="131"/>
      <c r="C168" s="132"/>
      <c r="D168" s="119"/>
      <c r="E168" s="133"/>
      <c r="F168" s="132"/>
      <c r="G168" s="134"/>
      <c r="H168" s="132"/>
      <c r="I168" s="135"/>
      <c r="J168" s="148"/>
      <c r="K168" s="132"/>
      <c r="L168" s="16"/>
      <c r="M168" s="149"/>
      <c r="N168" s="137"/>
      <c r="O168" s="118"/>
      <c r="P168" s="131"/>
      <c r="Q168" s="150"/>
    </row>
    <row r="169">
      <c r="A169" s="151"/>
      <c r="B169" s="121"/>
      <c r="C169" s="122"/>
      <c r="D169" s="123"/>
      <c r="E169" s="124"/>
      <c r="F169" s="122"/>
      <c r="G169" s="125"/>
      <c r="H169" s="122"/>
      <c r="I169" s="126"/>
      <c r="J169" s="152"/>
      <c r="K169" s="122"/>
      <c r="L169" s="45"/>
      <c r="M169" s="153"/>
      <c r="N169" s="128"/>
      <c r="O169" s="129"/>
      <c r="P169" s="121"/>
      <c r="Q169" s="154"/>
    </row>
    <row r="170">
      <c r="A170" s="147"/>
      <c r="B170" s="131"/>
      <c r="C170" s="132"/>
      <c r="D170" s="119"/>
      <c r="E170" s="133"/>
      <c r="F170" s="132"/>
      <c r="G170" s="134"/>
      <c r="H170" s="132"/>
      <c r="I170" s="135"/>
      <c r="J170" s="148"/>
      <c r="K170" s="132"/>
      <c r="L170" s="16"/>
      <c r="M170" s="149"/>
      <c r="N170" s="137"/>
      <c r="O170" s="118"/>
      <c r="P170" s="131"/>
      <c r="Q170" s="150"/>
    </row>
    <row r="171">
      <c r="A171" s="151"/>
      <c r="B171" s="121"/>
      <c r="C171" s="122"/>
      <c r="D171" s="123"/>
      <c r="E171" s="124"/>
      <c r="F171" s="122"/>
      <c r="G171" s="125"/>
      <c r="H171" s="122"/>
      <c r="I171" s="126"/>
      <c r="J171" s="152"/>
      <c r="K171" s="122"/>
      <c r="L171" s="45"/>
      <c r="M171" s="153"/>
      <c r="N171" s="128"/>
      <c r="O171" s="129"/>
      <c r="P171" s="121"/>
      <c r="Q171" s="154"/>
    </row>
    <row r="172">
      <c r="A172" s="147"/>
      <c r="B172" s="131"/>
      <c r="C172" s="132"/>
      <c r="D172" s="119"/>
      <c r="E172" s="133"/>
      <c r="F172" s="132"/>
      <c r="G172" s="134"/>
      <c r="H172" s="132"/>
      <c r="I172" s="135"/>
      <c r="J172" s="148"/>
      <c r="K172" s="132"/>
      <c r="L172" s="16"/>
      <c r="M172" s="149"/>
      <c r="N172" s="137"/>
      <c r="O172" s="118"/>
      <c r="P172" s="131"/>
      <c r="Q172" s="150"/>
    </row>
    <row r="173">
      <c r="A173" s="151"/>
      <c r="B173" s="121"/>
      <c r="C173" s="122"/>
      <c r="D173" s="123"/>
      <c r="E173" s="124"/>
      <c r="F173" s="122"/>
      <c r="G173" s="125"/>
      <c r="H173" s="122"/>
      <c r="I173" s="126"/>
      <c r="J173" s="152"/>
      <c r="K173" s="122"/>
      <c r="L173" s="45"/>
      <c r="M173" s="153"/>
      <c r="N173" s="128"/>
      <c r="O173" s="129"/>
      <c r="P173" s="121"/>
      <c r="Q173" s="154"/>
    </row>
    <row r="174">
      <c r="A174" s="147"/>
      <c r="B174" s="131"/>
      <c r="C174" s="132"/>
      <c r="D174" s="119"/>
      <c r="E174" s="133"/>
      <c r="F174" s="132"/>
      <c r="G174" s="134"/>
      <c r="H174" s="132"/>
      <c r="I174" s="135"/>
      <c r="J174" s="148"/>
      <c r="K174" s="132"/>
      <c r="L174" s="16"/>
      <c r="M174" s="149"/>
      <c r="N174" s="137"/>
      <c r="O174" s="118"/>
      <c r="P174" s="131"/>
      <c r="Q174" s="150"/>
    </row>
    <row r="175">
      <c r="A175" s="151"/>
      <c r="B175" s="121"/>
      <c r="C175" s="122"/>
      <c r="D175" s="123"/>
      <c r="E175" s="124"/>
      <c r="F175" s="122"/>
      <c r="G175" s="125"/>
      <c r="H175" s="122"/>
      <c r="I175" s="126"/>
      <c r="J175" s="152"/>
      <c r="K175" s="122"/>
      <c r="L175" s="45"/>
      <c r="M175" s="153"/>
      <c r="N175" s="128"/>
      <c r="O175" s="129"/>
      <c r="P175" s="121"/>
      <c r="Q175" s="154"/>
    </row>
    <row r="176">
      <c r="A176" s="147"/>
      <c r="B176" s="131"/>
      <c r="C176" s="132"/>
      <c r="D176" s="119"/>
      <c r="E176" s="133"/>
      <c r="F176" s="132"/>
      <c r="G176" s="134"/>
      <c r="H176" s="132"/>
      <c r="I176" s="135"/>
      <c r="J176" s="148"/>
      <c r="K176" s="132"/>
      <c r="L176" s="16"/>
      <c r="M176" s="149"/>
      <c r="N176" s="137"/>
      <c r="O176" s="118"/>
      <c r="P176" s="131"/>
      <c r="Q176" s="150"/>
    </row>
    <row r="177">
      <c r="A177" s="151"/>
      <c r="B177" s="121"/>
      <c r="C177" s="122"/>
      <c r="D177" s="123"/>
      <c r="E177" s="124"/>
      <c r="F177" s="122"/>
      <c r="G177" s="125"/>
      <c r="H177" s="122"/>
      <c r="I177" s="126"/>
      <c r="J177" s="152"/>
      <c r="K177" s="122"/>
      <c r="L177" s="45"/>
      <c r="M177" s="153"/>
      <c r="N177" s="128"/>
      <c r="O177" s="129"/>
      <c r="P177" s="121"/>
      <c r="Q177" s="154"/>
    </row>
    <row r="178">
      <c r="A178" s="147"/>
      <c r="B178" s="131"/>
      <c r="C178" s="132"/>
      <c r="D178" s="119"/>
      <c r="E178" s="133"/>
      <c r="F178" s="132"/>
      <c r="G178" s="134"/>
      <c r="H178" s="132"/>
      <c r="I178" s="135"/>
      <c r="J178" s="148"/>
      <c r="K178" s="132"/>
      <c r="L178" s="16"/>
      <c r="M178" s="149"/>
      <c r="N178" s="137"/>
      <c r="O178" s="118"/>
      <c r="P178" s="131"/>
      <c r="Q178" s="150"/>
    </row>
    <row r="179">
      <c r="A179" s="151"/>
      <c r="B179" s="121"/>
      <c r="C179" s="122"/>
      <c r="D179" s="123"/>
      <c r="E179" s="124"/>
      <c r="F179" s="122"/>
      <c r="G179" s="125"/>
      <c r="H179" s="122"/>
      <c r="I179" s="126"/>
      <c r="J179" s="152"/>
      <c r="K179" s="122"/>
      <c r="L179" s="45"/>
      <c r="M179" s="153"/>
      <c r="N179" s="128"/>
      <c r="O179" s="129"/>
      <c r="P179" s="121"/>
      <c r="Q179" s="154"/>
    </row>
    <row r="180">
      <c r="A180" s="147"/>
      <c r="B180" s="131"/>
      <c r="C180" s="132"/>
      <c r="D180" s="119"/>
      <c r="E180" s="133"/>
      <c r="F180" s="132"/>
      <c r="G180" s="134"/>
      <c r="H180" s="132"/>
      <c r="I180" s="135"/>
      <c r="J180" s="148"/>
      <c r="K180" s="132"/>
      <c r="L180" s="16"/>
      <c r="M180" s="149"/>
      <c r="N180" s="137"/>
      <c r="O180" s="118"/>
      <c r="P180" s="131"/>
      <c r="Q180" s="150"/>
    </row>
    <row r="181">
      <c r="A181" s="151"/>
      <c r="B181" s="121"/>
      <c r="C181" s="122"/>
      <c r="D181" s="123"/>
      <c r="E181" s="124"/>
      <c r="F181" s="122"/>
      <c r="G181" s="125"/>
      <c r="H181" s="122"/>
      <c r="I181" s="126"/>
      <c r="J181" s="152"/>
      <c r="K181" s="122"/>
      <c r="L181" s="45"/>
      <c r="M181" s="153"/>
      <c r="N181" s="128"/>
      <c r="O181" s="129"/>
      <c r="P181" s="121"/>
      <c r="Q181" s="154"/>
    </row>
    <row r="182">
      <c r="A182" s="147"/>
      <c r="B182" s="131"/>
      <c r="C182" s="132"/>
      <c r="D182" s="119"/>
      <c r="E182" s="133"/>
      <c r="F182" s="132"/>
      <c r="G182" s="134"/>
      <c r="H182" s="132"/>
      <c r="I182" s="135"/>
      <c r="J182" s="148"/>
      <c r="K182" s="132"/>
      <c r="L182" s="16"/>
      <c r="M182" s="149"/>
      <c r="N182" s="137"/>
      <c r="O182" s="118"/>
      <c r="P182" s="131"/>
      <c r="Q182" s="150"/>
    </row>
    <row r="183">
      <c r="A183" s="151"/>
      <c r="B183" s="121"/>
      <c r="C183" s="122"/>
      <c r="D183" s="123"/>
      <c r="E183" s="124"/>
      <c r="F183" s="122"/>
      <c r="G183" s="125"/>
      <c r="H183" s="122"/>
      <c r="I183" s="126"/>
      <c r="J183" s="152"/>
      <c r="K183" s="122"/>
      <c r="L183" s="45"/>
      <c r="M183" s="153"/>
      <c r="N183" s="128"/>
      <c r="O183" s="129"/>
      <c r="P183" s="121"/>
      <c r="Q183" s="154"/>
    </row>
    <row r="184">
      <c r="A184" s="147"/>
      <c r="B184" s="131"/>
      <c r="C184" s="132"/>
      <c r="D184" s="119"/>
      <c r="E184" s="133"/>
      <c r="F184" s="132"/>
      <c r="G184" s="134"/>
      <c r="H184" s="132"/>
      <c r="I184" s="135"/>
      <c r="J184" s="148"/>
      <c r="K184" s="132"/>
      <c r="L184" s="16"/>
      <c r="M184" s="149"/>
      <c r="N184" s="137"/>
      <c r="O184" s="118"/>
      <c r="P184" s="131"/>
      <c r="Q184" s="150"/>
    </row>
    <row r="185">
      <c r="A185" s="151"/>
      <c r="B185" s="121"/>
      <c r="C185" s="122"/>
      <c r="D185" s="123"/>
      <c r="E185" s="124"/>
      <c r="F185" s="122"/>
      <c r="G185" s="125"/>
      <c r="H185" s="122"/>
      <c r="I185" s="126"/>
      <c r="J185" s="152"/>
      <c r="K185" s="122"/>
      <c r="L185" s="45"/>
      <c r="M185" s="153"/>
      <c r="N185" s="128"/>
      <c r="O185" s="129"/>
      <c r="P185" s="121"/>
      <c r="Q185" s="154"/>
    </row>
    <row r="186">
      <c r="A186" s="147"/>
      <c r="B186" s="131"/>
      <c r="C186" s="132"/>
      <c r="D186" s="119"/>
      <c r="E186" s="133"/>
      <c r="F186" s="132"/>
      <c r="G186" s="134"/>
      <c r="H186" s="132"/>
      <c r="I186" s="135"/>
      <c r="J186" s="148"/>
      <c r="K186" s="132"/>
      <c r="L186" s="16"/>
      <c r="M186" s="149"/>
      <c r="N186" s="137"/>
      <c r="O186" s="118"/>
      <c r="P186" s="131"/>
      <c r="Q186" s="150"/>
    </row>
    <row r="187">
      <c r="A187" s="151"/>
      <c r="B187" s="121"/>
      <c r="C187" s="122"/>
      <c r="D187" s="123"/>
      <c r="E187" s="124"/>
      <c r="F187" s="122"/>
      <c r="G187" s="125"/>
      <c r="H187" s="122"/>
      <c r="I187" s="126"/>
      <c r="J187" s="152"/>
      <c r="K187" s="122"/>
      <c r="L187" s="45"/>
      <c r="M187" s="153"/>
      <c r="N187" s="128"/>
      <c r="O187" s="129"/>
      <c r="P187" s="121"/>
      <c r="Q187" s="154"/>
    </row>
    <row r="188">
      <c r="A188" s="147"/>
      <c r="B188" s="131"/>
      <c r="C188" s="132"/>
      <c r="D188" s="119"/>
      <c r="E188" s="133"/>
      <c r="F188" s="132"/>
      <c r="G188" s="134"/>
      <c r="H188" s="132"/>
      <c r="I188" s="135"/>
      <c r="J188" s="148"/>
      <c r="K188" s="132"/>
      <c r="L188" s="16"/>
      <c r="M188" s="149"/>
      <c r="N188" s="137"/>
      <c r="O188" s="118"/>
      <c r="P188" s="131"/>
      <c r="Q188" s="150"/>
    </row>
    <row r="189">
      <c r="A189" s="151"/>
      <c r="B189" s="121"/>
      <c r="C189" s="122"/>
      <c r="D189" s="123"/>
      <c r="E189" s="124"/>
      <c r="F189" s="122"/>
      <c r="G189" s="125"/>
      <c r="H189" s="122"/>
      <c r="I189" s="126"/>
      <c r="J189" s="152"/>
      <c r="K189" s="122"/>
      <c r="L189" s="45"/>
      <c r="M189" s="153"/>
      <c r="N189" s="128"/>
      <c r="O189" s="129"/>
      <c r="P189" s="121"/>
      <c r="Q189" s="154"/>
    </row>
    <row r="190">
      <c r="A190" s="147"/>
      <c r="B190" s="131"/>
      <c r="C190" s="132"/>
      <c r="D190" s="119"/>
      <c r="E190" s="133"/>
      <c r="F190" s="132"/>
      <c r="G190" s="134"/>
      <c r="H190" s="132"/>
      <c r="I190" s="135"/>
      <c r="J190" s="148"/>
      <c r="K190" s="132"/>
      <c r="L190" s="16"/>
      <c r="M190" s="149"/>
      <c r="N190" s="137"/>
      <c r="O190" s="118"/>
      <c r="P190" s="131"/>
      <c r="Q190" s="150"/>
    </row>
    <row r="191">
      <c r="A191" s="151"/>
      <c r="B191" s="121"/>
      <c r="C191" s="122"/>
      <c r="D191" s="123"/>
      <c r="E191" s="124"/>
      <c r="F191" s="122"/>
      <c r="G191" s="125"/>
      <c r="H191" s="122"/>
      <c r="I191" s="126"/>
      <c r="J191" s="152"/>
      <c r="K191" s="122"/>
      <c r="L191" s="45"/>
      <c r="M191" s="153"/>
      <c r="N191" s="128"/>
      <c r="O191" s="129"/>
      <c r="P191" s="121"/>
      <c r="Q191" s="154"/>
    </row>
    <row r="192">
      <c r="A192" s="147"/>
      <c r="B192" s="131"/>
      <c r="C192" s="132"/>
      <c r="D192" s="119"/>
      <c r="E192" s="133"/>
      <c r="F192" s="132"/>
      <c r="G192" s="134"/>
      <c r="H192" s="132"/>
      <c r="I192" s="135"/>
      <c r="J192" s="148"/>
      <c r="K192" s="132"/>
      <c r="L192" s="16"/>
      <c r="M192" s="149"/>
      <c r="N192" s="137"/>
      <c r="O192" s="118"/>
      <c r="P192" s="131"/>
      <c r="Q192" s="150"/>
    </row>
    <row r="193">
      <c r="A193" s="151"/>
      <c r="B193" s="121"/>
      <c r="C193" s="122"/>
      <c r="D193" s="123"/>
      <c r="E193" s="124"/>
      <c r="F193" s="122"/>
      <c r="G193" s="125"/>
      <c r="H193" s="122"/>
      <c r="I193" s="126"/>
      <c r="J193" s="152"/>
      <c r="K193" s="122"/>
      <c r="L193" s="45"/>
      <c r="M193" s="153"/>
      <c r="N193" s="128"/>
      <c r="O193" s="129"/>
      <c r="P193" s="121"/>
      <c r="Q193" s="154"/>
    </row>
    <row r="194">
      <c r="A194" s="147"/>
      <c r="B194" s="131"/>
      <c r="C194" s="132"/>
      <c r="D194" s="119"/>
      <c r="E194" s="133"/>
      <c r="F194" s="132"/>
      <c r="G194" s="134"/>
      <c r="H194" s="132"/>
      <c r="I194" s="135"/>
      <c r="J194" s="148"/>
      <c r="K194" s="132"/>
      <c r="L194" s="16"/>
      <c r="M194" s="149"/>
      <c r="N194" s="137"/>
      <c r="O194" s="118"/>
      <c r="P194" s="131"/>
      <c r="Q194" s="150"/>
    </row>
    <row r="195">
      <c r="A195" s="151"/>
      <c r="B195" s="121"/>
      <c r="C195" s="122"/>
      <c r="D195" s="123"/>
      <c r="E195" s="124"/>
      <c r="F195" s="122"/>
      <c r="G195" s="125"/>
      <c r="H195" s="122"/>
      <c r="I195" s="126"/>
      <c r="J195" s="152"/>
      <c r="K195" s="122"/>
      <c r="L195" s="45"/>
      <c r="M195" s="153"/>
      <c r="N195" s="128"/>
      <c r="O195" s="129"/>
      <c r="P195" s="121"/>
      <c r="Q195" s="154"/>
    </row>
    <row r="196">
      <c r="A196" s="147"/>
      <c r="B196" s="131"/>
      <c r="C196" s="132"/>
      <c r="D196" s="119"/>
      <c r="E196" s="133"/>
      <c r="F196" s="132"/>
      <c r="G196" s="134"/>
      <c r="H196" s="132"/>
      <c r="I196" s="135"/>
      <c r="J196" s="148"/>
      <c r="K196" s="132"/>
      <c r="L196" s="16"/>
      <c r="M196" s="149"/>
      <c r="N196" s="137"/>
      <c r="O196" s="118"/>
      <c r="P196" s="131"/>
      <c r="Q196" s="150"/>
    </row>
    <row r="197">
      <c r="A197" s="151"/>
      <c r="B197" s="121"/>
      <c r="C197" s="122"/>
      <c r="D197" s="123"/>
      <c r="E197" s="124"/>
      <c r="F197" s="122"/>
      <c r="G197" s="125"/>
      <c r="H197" s="122"/>
      <c r="I197" s="126"/>
      <c r="J197" s="152"/>
      <c r="K197" s="122"/>
      <c r="L197" s="45"/>
      <c r="M197" s="153"/>
      <c r="N197" s="128"/>
      <c r="O197" s="129"/>
      <c r="P197" s="121"/>
      <c r="Q197" s="154"/>
    </row>
    <row r="198">
      <c r="A198" s="147"/>
      <c r="B198" s="131"/>
      <c r="C198" s="132"/>
      <c r="D198" s="119"/>
      <c r="E198" s="133"/>
      <c r="F198" s="132"/>
      <c r="G198" s="134"/>
      <c r="H198" s="132"/>
      <c r="I198" s="135"/>
      <c r="J198" s="148"/>
      <c r="K198" s="132"/>
      <c r="L198" s="16"/>
      <c r="M198" s="149"/>
      <c r="N198" s="137"/>
      <c r="O198" s="118"/>
      <c r="P198" s="131"/>
      <c r="Q198" s="150"/>
    </row>
    <row r="199">
      <c r="A199" s="151"/>
      <c r="B199" s="121"/>
      <c r="C199" s="122"/>
      <c r="D199" s="123"/>
      <c r="E199" s="124"/>
      <c r="F199" s="122"/>
      <c r="G199" s="125"/>
      <c r="H199" s="122"/>
      <c r="I199" s="126"/>
      <c r="J199" s="152"/>
      <c r="K199" s="122"/>
      <c r="L199" s="45"/>
      <c r="M199" s="153"/>
      <c r="N199" s="128"/>
      <c r="O199" s="129"/>
      <c r="P199" s="121"/>
      <c r="Q199" s="154"/>
    </row>
    <row r="200">
      <c r="A200" s="147"/>
      <c r="B200" s="131"/>
      <c r="C200" s="132"/>
      <c r="D200" s="119"/>
      <c r="E200" s="133"/>
      <c r="F200" s="132"/>
      <c r="G200" s="134"/>
      <c r="H200" s="132"/>
      <c r="I200" s="135"/>
      <c r="J200" s="148"/>
      <c r="K200" s="132"/>
      <c r="L200" s="16"/>
      <c r="M200" s="149"/>
      <c r="N200" s="137"/>
      <c r="O200" s="118"/>
      <c r="P200" s="131"/>
      <c r="Q200" s="150"/>
    </row>
    <row r="201">
      <c r="A201" s="151"/>
      <c r="B201" s="121"/>
      <c r="C201" s="122"/>
      <c r="D201" s="123"/>
      <c r="E201" s="124"/>
      <c r="F201" s="122"/>
      <c r="G201" s="125"/>
      <c r="H201" s="122"/>
      <c r="I201" s="126"/>
      <c r="J201" s="152"/>
      <c r="K201" s="122"/>
      <c r="L201" s="45"/>
      <c r="M201" s="153"/>
      <c r="N201" s="128"/>
      <c r="O201" s="129"/>
      <c r="P201" s="121"/>
      <c r="Q201" s="154"/>
    </row>
    <row r="202">
      <c r="A202" s="147"/>
      <c r="B202" s="131"/>
      <c r="C202" s="132"/>
      <c r="D202" s="119"/>
      <c r="E202" s="133"/>
      <c r="F202" s="132"/>
      <c r="G202" s="134"/>
      <c r="H202" s="132"/>
      <c r="I202" s="135"/>
      <c r="J202" s="148"/>
      <c r="K202" s="132"/>
      <c r="L202" s="16"/>
      <c r="M202" s="149"/>
      <c r="N202" s="137"/>
      <c r="O202" s="118"/>
      <c r="P202" s="131"/>
      <c r="Q202" s="150"/>
    </row>
    <row r="203">
      <c r="A203" s="151"/>
      <c r="B203" s="121"/>
      <c r="C203" s="122"/>
      <c r="D203" s="123"/>
      <c r="E203" s="124"/>
      <c r="F203" s="122"/>
      <c r="G203" s="125"/>
      <c r="H203" s="122"/>
      <c r="I203" s="126"/>
      <c r="J203" s="152"/>
      <c r="K203" s="122"/>
      <c r="L203" s="45"/>
      <c r="M203" s="153"/>
      <c r="N203" s="128"/>
      <c r="O203" s="129"/>
      <c r="P203" s="121"/>
      <c r="Q203" s="154"/>
    </row>
    <row r="204">
      <c r="A204" s="147"/>
      <c r="B204" s="131"/>
      <c r="C204" s="132"/>
      <c r="D204" s="119"/>
      <c r="E204" s="133"/>
      <c r="F204" s="132"/>
      <c r="G204" s="134"/>
      <c r="H204" s="132"/>
      <c r="I204" s="135"/>
      <c r="J204" s="148"/>
      <c r="K204" s="132"/>
      <c r="L204" s="16"/>
      <c r="M204" s="149"/>
      <c r="N204" s="137"/>
      <c r="O204" s="118"/>
      <c r="P204" s="131"/>
      <c r="Q204" s="150"/>
    </row>
    <row r="205">
      <c r="A205" s="151"/>
      <c r="B205" s="121"/>
      <c r="C205" s="122"/>
      <c r="D205" s="123"/>
      <c r="E205" s="124"/>
      <c r="F205" s="122"/>
      <c r="G205" s="125"/>
      <c r="H205" s="122"/>
      <c r="I205" s="126"/>
      <c r="J205" s="152"/>
      <c r="K205" s="122"/>
      <c r="L205" s="45"/>
      <c r="M205" s="153"/>
      <c r="N205" s="128"/>
      <c r="O205" s="129"/>
      <c r="P205" s="121"/>
      <c r="Q205" s="154"/>
    </row>
    <row r="206">
      <c r="A206" s="147"/>
      <c r="B206" s="131"/>
      <c r="C206" s="132"/>
      <c r="D206" s="119"/>
      <c r="E206" s="133"/>
      <c r="F206" s="132"/>
      <c r="G206" s="134"/>
      <c r="H206" s="132"/>
      <c r="I206" s="135"/>
      <c r="J206" s="148"/>
      <c r="K206" s="132"/>
      <c r="L206" s="16"/>
      <c r="M206" s="149"/>
      <c r="N206" s="137"/>
      <c r="O206" s="118"/>
      <c r="P206" s="131"/>
      <c r="Q206" s="150"/>
    </row>
    <row r="207">
      <c r="A207" s="151"/>
      <c r="B207" s="121"/>
      <c r="C207" s="122"/>
      <c r="D207" s="123"/>
      <c r="E207" s="124"/>
      <c r="F207" s="122"/>
      <c r="G207" s="125"/>
      <c r="H207" s="122"/>
      <c r="I207" s="126"/>
      <c r="J207" s="152"/>
      <c r="K207" s="122"/>
      <c r="L207" s="45"/>
      <c r="M207" s="153"/>
      <c r="N207" s="128"/>
      <c r="O207" s="129"/>
      <c r="P207" s="121"/>
      <c r="Q207" s="154"/>
    </row>
    <row r="208">
      <c r="A208" s="147"/>
      <c r="B208" s="131"/>
      <c r="C208" s="132"/>
      <c r="D208" s="119"/>
      <c r="E208" s="133"/>
      <c r="F208" s="132"/>
      <c r="G208" s="134"/>
      <c r="H208" s="132"/>
      <c r="I208" s="135"/>
      <c r="J208" s="148"/>
      <c r="K208" s="132"/>
      <c r="L208" s="16"/>
      <c r="M208" s="149"/>
      <c r="N208" s="137"/>
      <c r="O208" s="118"/>
      <c r="P208" s="131"/>
      <c r="Q208" s="150"/>
    </row>
    <row r="209">
      <c r="A209" s="151"/>
      <c r="B209" s="121"/>
      <c r="C209" s="122"/>
      <c r="D209" s="123"/>
      <c r="E209" s="124"/>
      <c r="F209" s="122"/>
      <c r="G209" s="125"/>
      <c r="H209" s="122"/>
      <c r="I209" s="126"/>
      <c r="J209" s="152"/>
      <c r="K209" s="122"/>
      <c r="L209" s="45"/>
      <c r="M209" s="153"/>
      <c r="N209" s="128"/>
      <c r="O209" s="129"/>
      <c r="P209" s="121"/>
      <c r="Q209" s="154"/>
    </row>
    <row r="210">
      <c r="A210" s="147"/>
      <c r="B210" s="131"/>
      <c r="C210" s="132"/>
      <c r="D210" s="119"/>
      <c r="E210" s="133"/>
      <c r="F210" s="132"/>
      <c r="G210" s="134"/>
      <c r="H210" s="132"/>
      <c r="I210" s="135"/>
      <c r="J210" s="148"/>
      <c r="K210" s="132"/>
      <c r="L210" s="16"/>
      <c r="M210" s="149"/>
      <c r="N210" s="137"/>
      <c r="O210" s="118"/>
      <c r="P210" s="131"/>
      <c r="Q210" s="150"/>
    </row>
    <row r="211">
      <c r="A211" s="151"/>
      <c r="B211" s="121"/>
      <c r="C211" s="122"/>
      <c r="D211" s="123"/>
      <c r="E211" s="124"/>
      <c r="F211" s="122"/>
      <c r="G211" s="125"/>
      <c r="H211" s="122"/>
      <c r="I211" s="126"/>
      <c r="J211" s="152"/>
      <c r="K211" s="122"/>
      <c r="L211" s="45"/>
      <c r="M211" s="153"/>
      <c r="N211" s="128"/>
      <c r="O211" s="129"/>
      <c r="P211" s="121"/>
      <c r="Q211" s="154"/>
    </row>
    <row r="212">
      <c r="A212" s="147"/>
      <c r="B212" s="131"/>
      <c r="C212" s="132"/>
      <c r="D212" s="119"/>
      <c r="E212" s="133"/>
      <c r="F212" s="132"/>
      <c r="G212" s="134"/>
      <c r="H212" s="132"/>
      <c r="I212" s="135"/>
      <c r="J212" s="148"/>
      <c r="K212" s="132"/>
      <c r="L212" s="16"/>
      <c r="M212" s="149"/>
      <c r="N212" s="137"/>
      <c r="O212" s="118"/>
      <c r="P212" s="131"/>
      <c r="Q212" s="150"/>
    </row>
    <row r="213">
      <c r="A213" s="151"/>
      <c r="B213" s="121"/>
      <c r="C213" s="122"/>
      <c r="D213" s="123"/>
      <c r="E213" s="124"/>
      <c r="F213" s="122"/>
      <c r="G213" s="125"/>
      <c r="H213" s="122"/>
      <c r="I213" s="126"/>
      <c r="J213" s="152"/>
      <c r="K213" s="122"/>
      <c r="L213" s="45"/>
      <c r="M213" s="153"/>
      <c r="N213" s="128"/>
      <c r="O213" s="129"/>
      <c r="P213" s="121"/>
      <c r="Q213" s="154"/>
    </row>
    <row r="214">
      <c r="A214" s="147"/>
      <c r="B214" s="131"/>
      <c r="C214" s="132"/>
      <c r="D214" s="119"/>
      <c r="E214" s="133"/>
      <c r="F214" s="132"/>
      <c r="G214" s="134"/>
      <c r="H214" s="132"/>
      <c r="I214" s="135"/>
      <c r="J214" s="148"/>
      <c r="K214" s="132"/>
      <c r="L214" s="16"/>
      <c r="M214" s="149"/>
      <c r="N214" s="137"/>
      <c r="O214" s="118"/>
      <c r="P214" s="131"/>
      <c r="Q214" s="150"/>
    </row>
    <row r="215">
      <c r="A215" s="151"/>
      <c r="B215" s="121"/>
      <c r="C215" s="122"/>
      <c r="D215" s="123"/>
      <c r="E215" s="124"/>
      <c r="F215" s="122"/>
      <c r="G215" s="125"/>
      <c r="H215" s="122"/>
      <c r="I215" s="126"/>
      <c r="J215" s="152"/>
      <c r="K215" s="122"/>
      <c r="L215" s="45"/>
      <c r="M215" s="153"/>
      <c r="N215" s="128"/>
      <c r="O215" s="129"/>
      <c r="P215" s="121"/>
      <c r="Q215" s="154"/>
    </row>
    <row r="216">
      <c r="A216" s="147"/>
      <c r="B216" s="131"/>
      <c r="C216" s="132"/>
      <c r="D216" s="119"/>
      <c r="E216" s="133"/>
      <c r="F216" s="132"/>
      <c r="G216" s="134"/>
      <c r="H216" s="132"/>
      <c r="I216" s="135"/>
      <c r="J216" s="148"/>
      <c r="K216" s="132"/>
      <c r="L216" s="16"/>
      <c r="M216" s="149"/>
      <c r="N216" s="137"/>
      <c r="O216" s="118"/>
      <c r="P216" s="131"/>
      <c r="Q216" s="150"/>
    </row>
    <row r="217">
      <c r="A217" s="151"/>
      <c r="B217" s="121"/>
      <c r="C217" s="122"/>
      <c r="D217" s="123"/>
      <c r="E217" s="124"/>
      <c r="F217" s="122"/>
      <c r="G217" s="125"/>
      <c r="H217" s="122"/>
      <c r="I217" s="126"/>
      <c r="J217" s="152"/>
      <c r="K217" s="122"/>
      <c r="L217" s="45"/>
      <c r="M217" s="153"/>
      <c r="N217" s="128"/>
      <c r="O217" s="129"/>
      <c r="P217" s="121"/>
      <c r="Q217" s="154"/>
    </row>
    <row r="218">
      <c r="A218" s="147"/>
      <c r="B218" s="131"/>
      <c r="C218" s="132"/>
      <c r="D218" s="119"/>
      <c r="E218" s="133"/>
      <c r="F218" s="132"/>
      <c r="G218" s="134"/>
      <c r="H218" s="132"/>
      <c r="I218" s="135"/>
      <c r="J218" s="148"/>
      <c r="K218" s="132"/>
      <c r="L218" s="16"/>
      <c r="M218" s="149"/>
      <c r="N218" s="137"/>
      <c r="O218" s="118"/>
      <c r="P218" s="131"/>
      <c r="Q218" s="150"/>
    </row>
    <row r="219">
      <c r="A219" s="151"/>
      <c r="B219" s="121"/>
      <c r="C219" s="122"/>
      <c r="D219" s="123"/>
      <c r="E219" s="124"/>
      <c r="F219" s="122"/>
      <c r="G219" s="125"/>
      <c r="H219" s="122"/>
      <c r="I219" s="126"/>
      <c r="J219" s="152"/>
      <c r="K219" s="122"/>
      <c r="L219" s="45"/>
      <c r="M219" s="153"/>
      <c r="N219" s="128"/>
      <c r="O219" s="129"/>
      <c r="P219" s="121"/>
      <c r="Q219" s="154"/>
    </row>
    <row r="220">
      <c r="A220" s="147"/>
      <c r="B220" s="131"/>
      <c r="C220" s="132"/>
      <c r="D220" s="119"/>
      <c r="E220" s="133"/>
      <c r="F220" s="132"/>
      <c r="G220" s="134"/>
      <c r="H220" s="132"/>
      <c r="I220" s="135"/>
      <c r="J220" s="148"/>
      <c r="K220" s="132"/>
      <c r="L220" s="16"/>
      <c r="M220" s="149"/>
      <c r="N220" s="137"/>
      <c r="O220" s="118"/>
      <c r="P220" s="131"/>
      <c r="Q220" s="150"/>
    </row>
    <row r="221">
      <c r="A221" s="151"/>
      <c r="B221" s="121"/>
      <c r="C221" s="122"/>
      <c r="D221" s="123"/>
      <c r="E221" s="124"/>
      <c r="F221" s="122"/>
      <c r="G221" s="125"/>
      <c r="H221" s="122"/>
      <c r="I221" s="126"/>
      <c r="J221" s="152"/>
      <c r="K221" s="122"/>
      <c r="L221" s="45"/>
      <c r="M221" s="153"/>
      <c r="N221" s="128"/>
      <c r="O221" s="129"/>
      <c r="P221" s="121"/>
      <c r="Q221" s="154"/>
    </row>
    <row r="222">
      <c r="A222" s="147"/>
      <c r="B222" s="131"/>
      <c r="C222" s="132"/>
      <c r="D222" s="119"/>
      <c r="E222" s="133"/>
      <c r="F222" s="132"/>
      <c r="G222" s="134"/>
      <c r="H222" s="132"/>
      <c r="I222" s="135"/>
      <c r="J222" s="148"/>
      <c r="K222" s="132"/>
      <c r="L222" s="16"/>
      <c r="M222" s="149"/>
      <c r="N222" s="137"/>
      <c r="O222" s="118"/>
      <c r="P222" s="131"/>
      <c r="Q222" s="150"/>
    </row>
    <row r="223">
      <c r="A223" s="151"/>
      <c r="B223" s="121"/>
      <c r="C223" s="122"/>
      <c r="D223" s="123"/>
      <c r="E223" s="124"/>
      <c r="F223" s="122"/>
      <c r="G223" s="125"/>
      <c r="H223" s="122"/>
      <c r="I223" s="126"/>
      <c r="J223" s="152"/>
      <c r="K223" s="122"/>
      <c r="L223" s="45"/>
      <c r="M223" s="153"/>
      <c r="N223" s="128"/>
      <c r="O223" s="129"/>
      <c r="P223" s="121"/>
      <c r="Q223" s="154"/>
    </row>
    <row r="224">
      <c r="A224" s="147"/>
      <c r="B224" s="131"/>
      <c r="C224" s="132"/>
      <c r="D224" s="119"/>
      <c r="E224" s="133"/>
      <c r="F224" s="132"/>
      <c r="G224" s="134"/>
      <c r="H224" s="132"/>
      <c r="I224" s="135"/>
      <c r="J224" s="148"/>
      <c r="K224" s="132"/>
      <c r="L224" s="16"/>
      <c r="M224" s="149"/>
      <c r="N224" s="137"/>
      <c r="O224" s="118"/>
      <c r="P224" s="131"/>
      <c r="Q224" s="150"/>
    </row>
    <row r="225">
      <c r="A225" s="151"/>
      <c r="B225" s="121"/>
      <c r="C225" s="122"/>
      <c r="D225" s="123"/>
      <c r="E225" s="124"/>
      <c r="F225" s="122"/>
      <c r="G225" s="125"/>
      <c r="H225" s="122"/>
      <c r="I225" s="126"/>
      <c r="J225" s="152"/>
      <c r="K225" s="122"/>
      <c r="L225" s="45"/>
      <c r="M225" s="153"/>
      <c r="N225" s="128"/>
      <c r="O225" s="129"/>
      <c r="P225" s="121"/>
      <c r="Q225" s="154"/>
    </row>
    <row r="226">
      <c r="A226" s="147"/>
      <c r="B226" s="131"/>
      <c r="C226" s="132"/>
      <c r="D226" s="119"/>
      <c r="E226" s="133"/>
      <c r="F226" s="132"/>
      <c r="G226" s="134"/>
      <c r="H226" s="132"/>
      <c r="I226" s="135"/>
      <c r="J226" s="148"/>
      <c r="K226" s="132"/>
      <c r="L226" s="16"/>
      <c r="M226" s="149"/>
      <c r="N226" s="137"/>
      <c r="O226" s="118"/>
      <c r="P226" s="131"/>
      <c r="Q226" s="150"/>
    </row>
    <row r="227">
      <c r="A227" s="151"/>
      <c r="B227" s="121"/>
      <c r="C227" s="122"/>
      <c r="D227" s="123"/>
      <c r="E227" s="124"/>
      <c r="F227" s="122"/>
      <c r="G227" s="125"/>
      <c r="H227" s="122"/>
      <c r="I227" s="126"/>
      <c r="J227" s="152"/>
      <c r="K227" s="122"/>
      <c r="L227" s="45"/>
      <c r="M227" s="153"/>
      <c r="N227" s="128"/>
      <c r="O227" s="129"/>
      <c r="P227" s="121"/>
      <c r="Q227" s="154"/>
    </row>
    <row r="228">
      <c r="A228" s="147"/>
      <c r="B228" s="131"/>
      <c r="C228" s="132"/>
      <c r="D228" s="119"/>
      <c r="E228" s="133"/>
      <c r="F228" s="132"/>
      <c r="G228" s="134"/>
      <c r="H228" s="132"/>
      <c r="I228" s="135"/>
      <c r="J228" s="148"/>
      <c r="K228" s="132"/>
      <c r="L228" s="16"/>
      <c r="M228" s="149"/>
      <c r="N228" s="137"/>
      <c r="O228" s="118"/>
      <c r="P228" s="131"/>
      <c r="Q228" s="150"/>
    </row>
    <row r="229">
      <c r="A229" s="151"/>
      <c r="B229" s="121"/>
      <c r="C229" s="122"/>
      <c r="D229" s="123"/>
      <c r="E229" s="124"/>
      <c r="F229" s="122"/>
      <c r="G229" s="125"/>
      <c r="H229" s="122"/>
      <c r="I229" s="126"/>
      <c r="J229" s="152"/>
      <c r="K229" s="122"/>
      <c r="L229" s="45"/>
      <c r="M229" s="153"/>
      <c r="N229" s="128"/>
      <c r="O229" s="129"/>
      <c r="P229" s="121"/>
      <c r="Q229" s="154"/>
    </row>
    <row r="230">
      <c r="A230" s="147"/>
      <c r="B230" s="131"/>
      <c r="C230" s="132"/>
      <c r="D230" s="119"/>
      <c r="E230" s="133"/>
      <c r="F230" s="132"/>
      <c r="G230" s="134"/>
      <c r="H230" s="132"/>
      <c r="I230" s="135"/>
      <c r="J230" s="148"/>
      <c r="K230" s="132"/>
      <c r="L230" s="16"/>
      <c r="M230" s="149"/>
      <c r="N230" s="137"/>
      <c r="O230" s="118"/>
      <c r="P230" s="131"/>
      <c r="Q230" s="150"/>
    </row>
    <row r="231">
      <c r="A231" s="151"/>
      <c r="B231" s="121"/>
      <c r="C231" s="122"/>
      <c r="D231" s="123"/>
      <c r="E231" s="124"/>
      <c r="F231" s="122"/>
      <c r="G231" s="125"/>
      <c r="H231" s="122"/>
      <c r="I231" s="126"/>
      <c r="J231" s="152"/>
      <c r="K231" s="122"/>
      <c r="L231" s="45"/>
      <c r="M231" s="153"/>
      <c r="N231" s="128"/>
      <c r="O231" s="129"/>
      <c r="P231" s="121"/>
      <c r="Q231" s="154"/>
    </row>
    <row r="232">
      <c r="A232" s="147"/>
      <c r="B232" s="131"/>
      <c r="C232" s="132"/>
      <c r="D232" s="119"/>
      <c r="E232" s="133"/>
      <c r="F232" s="132"/>
      <c r="G232" s="134"/>
      <c r="H232" s="132"/>
      <c r="I232" s="135"/>
      <c r="J232" s="148"/>
      <c r="K232" s="132"/>
      <c r="L232" s="16"/>
      <c r="M232" s="149"/>
      <c r="N232" s="137"/>
      <c r="O232" s="118"/>
      <c r="P232" s="131"/>
      <c r="Q232" s="150"/>
    </row>
    <row r="233">
      <c r="A233" s="151"/>
      <c r="B233" s="121"/>
      <c r="C233" s="122"/>
      <c r="D233" s="123"/>
      <c r="E233" s="124"/>
      <c r="F233" s="122"/>
      <c r="G233" s="125"/>
      <c r="H233" s="122"/>
      <c r="I233" s="126"/>
      <c r="J233" s="152"/>
      <c r="K233" s="122"/>
      <c r="L233" s="45"/>
      <c r="M233" s="153"/>
      <c r="N233" s="128"/>
      <c r="O233" s="129"/>
      <c r="P233" s="121"/>
      <c r="Q233" s="154"/>
    </row>
    <row r="234">
      <c r="A234" s="147"/>
      <c r="B234" s="131"/>
      <c r="C234" s="132"/>
      <c r="D234" s="119"/>
      <c r="E234" s="133"/>
      <c r="F234" s="132"/>
      <c r="G234" s="134"/>
      <c r="H234" s="132"/>
      <c r="I234" s="135"/>
      <c r="J234" s="148"/>
      <c r="K234" s="132"/>
      <c r="L234" s="16"/>
      <c r="M234" s="149"/>
      <c r="N234" s="137"/>
      <c r="O234" s="118"/>
      <c r="P234" s="131"/>
      <c r="Q234" s="150"/>
    </row>
    <row r="235">
      <c r="A235" s="151"/>
      <c r="B235" s="121"/>
      <c r="C235" s="122"/>
      <c r="D235" s="123"/>
      <c r="E235" s="124"/>
      <c r="F235" s="122"/>
      <c r="G235" s="125"/>
      <c r="H235" s="122"/>
      <c r="I235" s="126"/>
      <c r="J235" s="152"/>
      <c r="K235" s="122"/>
      <c r="L235" s="45"/>
      <c r="M235" s="153"/>
      <c r="N235" s="128"/>
      <c r="O235" s="129"/>
      <c r="P235" s="121"/>
      <c r="Q235" s="154"/>
    </row>
    <row r="236">
      <c r="A236" s="147"/>
      <c r="B236" s="131"/>
      <c r="C236" s="132"/>
      <c r="D236" s="119"/>
      <c r="E236" s="133"/>
      <c r="F236" s="132"/>
      <c r="G236" s="134"/>
      <c r="H236" s="132"/>
      <c r="I236" s="135"/>
      <c r="J236" s="148"/>
      <c r="K236" s="132"/>
      <c r="L236" s="16"/>
      <c r="M236" s="149"/>
      <c r="N236" s="137"/>
      <c r="O236" s="118"/>
      <c r="P236" s="131"/>
      <c r="Q236" s="150"/>
    </row>
    <row r="237">
      <c r="A237" s="151"/>
      <c r="B237" s="121"/>
      <c r="C237" s="122"/>
      <c r="D237" s="123"/>
      <c r="E237" s="124"/>
      <c r="F237" s="122"/>
      <c r="G237" s="125"/>
      <c r="H237" s="122"/>
      <c r="I237" s="126"/>
      <c r="J237" s="152"/>
      <c r="K237" s="122"/>
      <c r="L237" s="45"/>
      <c r="M237" s="153"/>
      <c r="N237" s="128"/>
      <c r="O237" s="129"/>
      <c r="P237" s="121"/>
      <c r="Q237" s="154"/>
    </row>
    <row r="238">
      <c r="A238" s="147"/>
      <c r="B238" s="131"/>
      <c r="C238" s="132"/>
      <c r="D238" s="119"/>
      <c r="E238" s="133"/>
      <c r="F238" s="132"/>
      <c r="G238" s="134"/>
      <c r="H238" s="132"/>
      <c r="I238" s="135"/>
      <c r="J238" s="148"/>
      <c r="K238" s="132"/>
      <c r="L238" s="16"/>
      <c r="M238" s="149"/>
      <c r="N238" s="137"/>
      <c r="O238" s="118"/>
      <c r="P238" s="131"/>
      <c r="Q238" s="150"/>
    </row>
    <row r="239">
      <c r="A239" s="151"/>
      <c r="B239" s="121"/>
      <c r="C239" s="122"/>
      <c r="D239" s="123"/>
      <c r="E239" s="124"/>
      <c r="F239" s="122"/>
      <c r="G239" s="125"/>
      <c r="H239" s="122"/>
      <c r="I239" s="126"/>
      <c r="J239" s="152"/>
      <c r="K239" s="122"/>
      <c r="L239" s="45"/>
      <c r="M239" s="153"/>
      <c r="N239" s="128"/>
      <c r="O239" s="129"/>
      <c r="P239" s="121"/>
      <c r="Q239" s="154"/>
    </row>
    <row r="240">
      <c r="A240" s="147"/>
      <c r="B240" s="131"/>
      <c r="C240" s="132"/>
      <c r="D240" s="119"/>
      <c r="E240" s="133"/>
      <c r="F240" s="132"/>
      <c r="G240" s="134"/>
      <c r="H240" s="132"/>
      <c r="I240" s="135"/>
      <c r="J240" s="148"/>
      <c r="K240" s="132"/>
      <c r="L240" s="16"/>
      <c r="M240" s="149"/>
      <c r="N240" s="137"/>
      <c r="O240" s="118"/>
      <c r="P240" s="131"/>
      <c r="Q240" s="150"/>
    </row>
    <row r="241">
      <c r="A241" s="151"/>
      <c r="B241" s="121"/>
      <c r="C241" s="122"/>
      <c r="D241" s="123"/>
      <c r="E241" s="124"/>
      <c r="F241" s="122"/>
      <c r="G241" s="125"/>
      <c r="H241" s="122"/>
      <c r="I241" s="126"/>
      <c r="J241" s="152"/>
      <c r="K241" s="122"/>
      <c r="L241" s="45"/>
      <c r="M241" s="153"/>
      <c r="N241" s="128"/>
      <c r="O241" s="129"/>
      <c r="P241" s="121"/>
      <c r="Q241" s="154"/>
    </row>
    <row r="242">
      <c r="A242" s="147"/>
      <c r="B242" s="131"/>
      <c r="C242" s="132"/>
      <c r="D242" s="119"/>
      <c r="E242" s="133"/>
      <c r="F242" s="132"/>
      <c r="G242" s="134"/>
      <c r="H242" s="132"/>
      <c r="I242" s="135"/>
      <c r="J242" s="148"/>
      <c r="K242" s="132"/>
      <c r="L242" s="16"/>
      <c r="M242" s="149"/>
      <c r="N242" s="137"/>
      <c r="O242" s="118"/>
      <c r="P242" s="131"/>
      <c r="Q242" s="150"/>
    </row>
    <row r="243">
      <c r="A243" s="151"/>
      <c r="B243" s="121"/>
      <c r="C243" s="122"/>
      <c r="D243" s="123"/>
      <c r="E243" s="124"/>
      <c r="F243" s="122"/>
      <c r="G243" s="125"/>
      <c r="H243" s="122"/>
      <c r="I243" s="126"/>
      <c r="J243" s="152"/>
      <c r="K243" s="122"/>
      <c r="L243" s="45"/>
      <c r="M243" s="153"/>
      <c r="N243" s="128"/>
      <c r="O243" s="129"/>
      <c r="P243" s="121"/>
      <c r="Q243" s="154"/>
    </row>
    <row r="244">
      <c r="A244" s="147"/>
      <c r="B244" s="131"/>
      <c r="C244" s="132"/>
      <c r="D244" s="119"/>
      <c r="E244" s="133"/>
      <c r="F244" s="132"/>
      <c r="G244" s="134"/>
      <c r="H244" s="132"/>
      <c r="I244" s="135"/>
      <c r="J244" s="148"/>
      <c r="K244" s="132"/>
      <c r="L244" s="16"/>
      <c r="M244" s="149"/>
      <c r="N244" s="137"/>
      <c r="O244" s="118"/>
      <c r="P244" s="131"/>
      <c r="Q244" s="150"/>
    </row>
    <row r="245">
      <c r="A245" s="151"/>
      <c r="B245" s="121"/>
      <c r="C245" s="122"/>
      <c r="D245" s="123"/>
      <c r="E245" s="124"/>
      <c r="F245" s="122"/>
      <c r="G245" s="125"/>
      <c r="H245" s="122"/>
      <c r="I245" s="126"/>
      <c r="J245" s="152"/>
      <c r="K245" s="122"/>
      <c r="L245" s="45"/>
      <c r="M245" s="153"/>
      <c r="N245" s="128"/>
      <c r="O245" s="129"/>
      <c r="P245" s="121"/>
      <c r="Q245" s="154"/>
    </row>
    <row r="246">
      <c r="A246" s="147"/>
      <c r="B246" s="131"/>
      <c r="C246" s="132"/>
      <c r="D246" s="119"/>
      <c r="E246" s="133"/>
      <c r="F246" s="132"/>
      <c r="G246" s="134"/>
      <c r="H246" s="132"/>
      <c r="I246" s="135"/>
      <c r="J246" s="148"/>
      <c r="K246" s="132"/>
      <c r="L246" s="16"/>
      <c r="M246" s="149"/>
      <c r="N246" s="137"/>
      <c r="O246" s="118"/>
      <c r="P246" s="131"/>
      <c r="Q246" s="150"/>
    </row>
    <row r="247">
      <c r="A247" s="151"/>
      <c r="B247" s="121"/>
      <c r="C247" s="122"/>
      <c r="D247" s="123"/>
      <c r="E247" s="124"/>
      <c r="F247" s="122"/>
      <c r="G247" s="125"/>
      <c r="H247" s="122"/>
      <c r="I247" s="126"/>
      <c r="J247" s="152"/>
      <c r="K247" s="122"/>
      <c r="L247" s="45"/>
      <c r="M247" s="153"/>
      <c r="N247" s="128"/>
      <c r="O247" s="129"/>
      <c r="P247" s="121"/>
      <c r="Q247" s="154"/>
    </row>
    <row r="248">
      <c r="A248" s="147"/>
      <c r="B248" s="131"/>
      <c r="C248" s="132"/>
      <c r="D248" s="119"/>
      <c r="E248" s="133"/>
      <c r="F248" s="132"/>
      <c r="G248" s="134"/>
      <c r="H248" s="132"/>
      <c r="I248" s="135"/>
      <c r="J248" s="148"/>
      <c r="K248" s="132"/>
      <c r="L248" s="16"/>
      <c r="M248" s="149"/>
      <c r="N248" s="137"/>
      <c r="O248" s="118"/>
      <c r="P248" s="131"/>
      <c r="Q248" s="150"/>
    </row>
    <row r="249">
      <c r="A249" s="151"/>
      <c r="B249" s="121"/>
      <c r="C249" s="122"/>
      <c r="D249" s="123"/>
      <c r="E249" s="124"/>
      <c r="F249" s="122"/>
      <c r="G249" s="125"/>
      <c r="H249" s="122"/>
      <c r="I249" s="126"/>
      <c r="J249" s="152"/>
      <c r="K249" s="122"/>
      <c r="L249" s="45"/>
      <c r="M249" s="153"/>
      <c r="N249" s="128"/>
      <c r="O249" s="129"/>
      <c r="P249" s="121"/>
      <c r="Q249" s="154"/>
    </row>
    <row r="250">
      <c r="A250" s="147"/>
      <c r="B250" s="131"/>
      <c r="C250" s="132"/>
      <c r="D250" s="119"/>
      <c r="E250" s="133"/>
      <c r="F250" s="132"/>
      <c r="G250" s="134"/>
      <c r="H250" s="132"/>
      <c r="I250" s="135"/>
      <c r="J250" s="148"/>
      <c r="K250" s="132"/>
      <c r="L250" s="16"/>
      <c r="M250" s="149"/>
      <c r="N250" s="137"/>
      <c r="O250" s="118"/>
      <c r="P250" s="131"/>
      <c r="Q250" s="150"/>
    </row>
    <row r="251">
      <c r="A251" s="151"/>
      <c r="B251" s="121"/>
      <c r="C251" s="122"/>
      <c r="D251" s="123"/>
      <c r="E251" s="124"/>
      <c r="F251" s="122"/>
      <c r="G251" s="125"/>
      <c r="H251" s="122"/>
      <c r="I251" s="126"/>
      <c r="J251" s="152"/>
      <c r="K251" s="122"/>
      <c r="L251" s="45"/>
      <c r="M251" s="153"/>
      <c r="N251" s="128"/>
      <c r="O251" s="129"/>
      <c r="P251" s="121"/>
      <c r="Q251" s="154"/>
    </row>
    <row r="252">
      <c r="A252" s="147"/>
      <c r="B252" s="131"/>
      <c r="C252" s="132"/>
      <c r="D252" s="119"/>
      <c r="E252" s="133"/>
      <c r="F252" s="132"/>
      <c r="G252" s="134"/>
      <c r="H252" s="132"/>
      <c r="I252" s="135"/>
      <c r="J252" s="148"/>
      <c r="K252" s="132"/>
      <c r="L252" s="16"/>
      <c r="M252" s="149"/>
      <c r="N252" s="137"/>
      <c r="O252" s="118"/>
      <c r="P252" s="131"/>
      <c r="Q252" s="150"/>
    </row>
    <row r="253">
      <c r="A253" s="151"/>
      <c r="B253" s="121"/>
      <c r="C253" s="122"/>
      <c r="D253" s="123"/>
      <c r="E253" s="124"/>
      <c r="F253" s="122"/>
      <c r="G253" s="125"/>
      <c r="H253" s="122"/>
      <c r="I253" s="126"/>
      <c r="J253" s="152"/>
      <c r="K253" s="122"/>
      <c r="L253" s="45"/>
      <c r="M253" s="153"/>
      <c r="N253" s="128"/>
      <c r="O253" s="129"/>
      <c r="P253" s="121"/>
      <c r="Q253" s="154"/>
    </row>
    <row r="254">
      <c r="A254" s="147"/>
      <c r="B254" s="131"/>
      <c r="C254" s="132"/>
      <c r="D254" s="119"/>
      <c r="E254" s="133"/>
      <c r="F254" s="132"/>
      <c r="G254" s="134"/>
      <c r="H254" s="132"/>
      <c r="I254" s="135"/>
      <c r="J254" s="148"/>
      <c r="K254" s="132"/>
      <c r="L254" s="16"/>
      <c r="M254" s="149"/>
      <c r="N254" s="137"/>
      <c r="O254" s="118"/>
      <c r="P254" s="131"/>
      <c r="Q254" s="150"/>
    </row>
    <row r="255">
      <c r="A255" s="151"/>
      <c r="B255" s="121"/>
      <c r="C255" s="122"/>
      <c r="D255" s="123"/>
      <c r="E255" s="124"/>
      <c r="F255" s="122"/>
      <c r="G255" s="125"/>
      <c r="H255" s="122"/>
      <c r="I255" s="126"/>
      <c r="J255" s="152"/>
      <c r="K255" s="122"/>
      <c r="L255" s="45"/>
      <c r="M255" s="153"/>
      <c r="N255" s="128"/>
      <c r="O255" s="129"/>
      <c r="P255" s="121"/>
      <c r="Q255" s="154"/>
    </row>
    <row r="256">
      <c r="A256" s="147"/>
      <c r="B256" s="131"/>
      <c r="C256" s="132"/>
      <c r="D256" s="119"/>
      <c r="E256" s="133"/>
      <c r="F256" s="132"/>
      <c r="G256" s="134"/>
      <c r="H256" s="132"/>
      <c r="I256" s="135"/>
      <c r="J256" s="148"/>
      <c r="K256" s="132"/>
      <c r="L256" s="16"/>
      <c r="M256" s="149"/>
      <c r="N256" s="137"/>
      <c r="O256" s="118"/>
      <c r="P256" s="131"/>
      <c r="Q256" s="150"/>
    </row>
    <row r="257">
      <c r="A257" s="151"/>
      <c r="B257" s="121"/>
      <c r="C257" s="122"/>
      <c r="D257" s="123"/>
      <c r="E257" s="124"/>
      <c r="F257" s="122"/>
      <c r="G257" s="125"/>
      <c r="H257" s="122"/>
      <c r="I257" s="126"/>
      <c r="J257" s="152"/>
      <c r="K257" s="122"/>
      <c r="L257" s="45"/>
      <c r="M257" s="153"/>
      <c r="N257" s="128"/>
      <c r="O257" s="129"/>
      <c r="P257" s="121"/>
      <c r="Q257" s="154"/>
    </row>
    <row r="258">
      <c r="A258" s="147"/>
      <c r="B258" s="131"/>
      <c r="C258" s="132"/>
      <c r="D258" s="119"/>
      <c r="E258" s="133"/>
      <c r="F258" s="132"/>
      <c r="G258" s="134"/>
      <c r="H258" s="132"/>
      <c r="I258" s="135"/>
      <c r="J258" s="148"/>
      <c r="K258" s="132"/>
      <c r="L258" s="16"/>
      <c r="M258" s="149"/>
      <c r="N258" s="137"/>
      <c r="O258" s="118"/>
      <c r="P258" s="131"/>
      <c r="Q258" s="150"/>
    </row>
    <row r="259">
      <c r="A259" s="151"/>
      <c r="B259" s="121"/>
      <c r="C259" s="122"/>
      <c r="D259" s="123"/>
      <c r="E259" s="124"/>
      <c r="F259" s="122"/>
      <c r="G259" s="125"/>
      <c r="H259" s="122"/>
      <c r="I259" s="126"/>
      <c r="J259" s="152"/>
      <c r="K259" s="122"/>
      <c r="L259" s="45"/>
      <c r="M259" s="153"/>
      <c r="N259" s="128"/>
      <c r="O259" s="129"/>
      <c r="P259" s="121"/>
      <c r="Q259" s="154"/>
    </row>
    <row r="260">
      <c r="A260" s="147"/>
      <c r="B260" s="131"/>
      <c r="C260" s="132"/>
      <c r="D260" s="119"/>
      <c r="E260" s="133"/>
      <c r="F260" s="132"/>
      <c r="G260" s="134"/>
      <c r="H260" s="132"/>
      <c r="I260" s="135"/>
      <c r="J260" s="148"/>
      <c r="K260" s="132"/>
      <c r="L260" s="16"/>
      <c r="M260" s="149"/>
      <c r="N260" s="137"/>
      <c r="O260" s="118"/>
      <c r="P260" s="131"/>
      <c r="Q260" s="150"/>
    </row>
    <row r="261">
      <c r="A261" s="151"/>
      <c r="B261" s="121"/>
      <c r="C261" s="122"/>
      <c r="D261" s="123"/>
      <c r="E261" s="124"/>
      <c r="F261" s="122"/>
      <c r="G261" s="125"/>
      <c r="H261" s="122"/>
      <c r="I261" s="126"/>
      <c r="J261" s="152"/>
      <c r="K261" s="122"/>
      <c r="L261" s="45"/>
      <c r="M261" s="153"/>
      <c r="N261" s="128"/>
      <c r="O261" s="129"/>
      <c r="P261" s="121"/>
      <c r="Q261" s="154"/>
    </row>
    <row r="262">
      <c r="A262" s="147"/>
      <c r="B262" s="131"/>
      <c r="C262" s="132"/>
      <c r="D262" s="119"/>
      <c r="E262" s="133"/>
      <c r="F262" s="132"/>
      <c r="G262" s="134"/>
      <c r="H262" s="132"/>
      <c r="I262" s="135"/>
      <c r="J262" s="148"/>
      <c r="K262" s="132"/>
      <c r="L262" s="16"/>
      <c r="M262" s="149"/>
      <c r="N262" s="137"/>
      <c r="O262" s="118"/>
      <c r="P262" s="131"/>
      <c r="Q262" s="150"/>
    </row>
    <row r="263">
      <c r="A263" s="151"/>
      <c r="B263" s="121"/>
      <c r="C263" s="122"/>
      <c r="D263" s="123"/>
      <c r="E263" s="124"/>
      <c r="F263" s="122"/>
      <c r="G263" s="125"/>
      <c r="H263" s="122"/>
      <c r="I263" s="126"/>
      <c r="J263" s="152"/>
      <c r="K263" s="122"/>
      <c r="L263" s="45"/>
      <c r="M263" s="153"/>
      <c r="N263" s="128"/>
      <c r="O263" s="129"/>
      <c r="P263" s="121"/>
      <c r="Q263" s="154"/>
    </row>
    <row r="264">
      <c r="A264" s="147"/>
      <c r="B264" s="131"/>
      <c r="C264" s="132"/>
      <c r="D264" s="119"/>
      <c r="E264" s="133"/>
      <c r="F264" s="132"/>
      <c r="G264" s="134"/>
      <c r="H264" s="132"/>
      <c r="I264" s="135"/>
      <c r="J264" s="148"/>
      <c r="K264" s="132"/>
      <c r="L264" s="16"/>
      <c r="M264" s="149"/>
      <c r="N264" s="137"/>
      <c r="O264" s="118"/>
      <c r="P264" s="131"/>
      <c r="Q264" s="150"/>
    </row>
    <row r="265">
      <c r="A265" s="151"/>
      <c r="B265" s="121"/>
      <c r="C265" s="122"/>
      <c r="D265" s="123"/>
      <c r="E265" s="124"/>
      <c r="F265" s="122"/>
      <c r="G265" s="125"/>
      <c r="H265" s="122"/>
      <c r="I265" s="126"/>
      <c r="J265" s="152"/>
      <c r="K265" s="122"/>
      <c r="L265" s="45"/>
      <c r="M265" s="153"/>
      <c r="N265" s="128"/>
      <c r="O265" s="129"/>
      <c r="P265" s="121"/>
      <c r="Q265" s="154"/>
    </row>
    <row r="266">
      <c r="A266" s="147"/>
      <c r="B266" s="131"/>
      <c r="C266" s="132"/>
      <c r="D266" s="119"/>
      <c r="E266" s="133"/>
      <c r="F266" s="132"/>
      <c r="G266" s="134"/>
      <c r="H266" s="132"/>
      <c r="I266" s="135"/>
      <c r="J266" s="148"/>
      <c r="K266" s="132"/>
      <c r="L266" s="16"/>
      <c r="M266" s="149"/>
      <c r="N266" s="137"/>
      <c r="O266" s="118"/>
      <c r="P266" s="131"/>
      <c r="Q266" s="150"/>
    </row>
    <row r="267">
      <c r="A267" s="151"/>
      <c r="B267" s="121"/>
      <c r="C267" s="122"/>
      <c r="D267" s="123"/>
      <c r="E267" s="124"/>
      <c r="F267" s="122"/>
      <c r="G267" s="125"/>
      <c r="H267" s="122"/>
      <c r="I267" s="126"/>
      <c r="J267" s="152"/>
      <c r="K267" s="122"/>
      <c r="L267" s="45"/>
      <c r="M267" s="153"/>
      <c r="N267" s="128"/>
      <c r="O267" s="129"/>
      <c r="P267" s="121"/>
      <c r="Q267" s="154"/>
    </row>
    <row r="268">
      <c r="A268" s="147"/>
      <c r="B268" s="131"/>
      <c r="C268" s="132"/>
      <c r="D268" s="119"/>
      <c r="E268" s="133"/>
      <c r="F268" s="132"/>
      <c r="G268" s="134"/>
      <c r="H268" s="132"/>
      <c r="I268" s="135"/>
      <c r="J268" s="148"/>
      <c r="K268" s="132"/>
      <c r="L268" s="16"/>
      <c r="M268" s="149"/>
      <c r="N268" s="137"/>
      <c r="O268" s="118"/>
      <c r="P268" s="131"/>
      <c r="Q268" s="150"/>
    </row>
    <row r="269">
      <c r="A269" s="151"/>
      <c r="B269" s="121"/>
      <c r="C269" s="122"/>
      <c r="D269" s="123"/>
      <c r="E269" s="124"/>
      <c r="F269" s="122"/>
      <c r="G269" s="125"/>
      <c r="H269" s="122"/>
      <c r="I269" s="126"/>
      <c r="J269" s="152"/>
      <c r="K269" s="122"/>
      <c r="L269" s="45"/>
      <c r="M269" s="153"/>
      <c r="N269" s="128"/>
      <c r="O269" s="129"/>
      <c r="P269" s="121"/>
      <c r="Q269" s="154"/>
    </row>
    <row r="270">
      <c r="A270" s="147"/>
      <c r="B270" s="131"/>
      <c r="C270" s="132"/>
      <c r="D270" s="119"/>
      <c r="E270" s="133"/>
      <c r="F270" s="132"/>
      <c r="G270" s="134"/>
      <c r="H270" s="132"/>
      <c r="I270" s="135"/>
      <c r="J270" s="148"/>
      <c r="K270" s="132"/>
      <c r="L270" s="16"/>
      <c r="M270" s="149"/>
      <c r="N270" s="137"/>
      <c r="O270" s="118"/>
      <c r="P270" s="131"/>
      <c r="Q270" s="150"/>
    </row>
    <row r="271">
      <c r="A271" s="151"/>
      <c r="B271" s="121"/>
      <c r="C271" s="122"/>
      <c r="D271" s="123"/>
      <c r="E271" s="124"/>
      <c r="F271" s="122"/>
      <c r="G271" s="125"/>
      <c r="H271" s="122"/>
      <c r="I271" s="126"/>
      <c r="J271" s="152"/>
      <c r="K271" s="122"/>
      <c r="L271" s="45"/>
      <c r="M271" s="153"/>
      <c r="N271" s="128"/>
      <c r="O271" s="129"/>
      <c r="P271" s="121"/>
      <c r="Q271" s="154"/>
    </row>
    <row r="272">
      <c r="A272" s="147"/>
      <c r="B272" s="131"/>
      <c r="C272" s="132"/>
      <c r="D272" s="119"/>
      <c r="E272" s="133"/>
      <c r="F272" s="132"/>
      <c r="G272" s="134"/>
      <c r="H272" s="132"/>
      <c r="I272" s="135"/>
      <c r="J272" s="148"/>
      <c r="K272" s="132"/>
      <c r="L272" s="16"/>
      <c r="M272" s="149"/>
      <c r="N272" s="137"/>
      <c r="O272" s="118"/>
      <c r="P272" s="131"/>
      <c r="Q272" s="150"/>
    </row>
    <row r="273">
      <c r="A273" s="151"/>
      <c r="B273" s="121"/>
      <c r="C273" s="122"/>
      <c r="D273" s="123"/>
      <c r="E273" s="124"/>
      <c r="F273" s="122"/>
      <c r="G273" s="125"/>
      <c r="H273" s="122"/>
      <c r="I273" s="126"/>
      <c r="J273" s="152"/>
      <c r="K273" s="122"/>
      <c r="L273" s="45"/>
      <c r="M273" s="153"/>
      <c r="N273" s="128"/>
      <c r="O273" s="129"/>
      <c r="P273" s="121"/>
      <c r="Q273" s="154"/>
    </row>
    <row r="274">
      <c r="A274" s="147"/>
      <c r="B274" s="131"/>
      <c r="C274" s="132"/>
      <c r="D274" s="119"/>
      <c r="E274" s="133"/>
      <c r="F274" s="132"/>
      <c r="G274" s="134"/>
      <c r="H274" s="132"/>
      <c r="I274" s="135"/>
      <c r="J274" s="148"/>
      <c r="K274" s="132"/>
      <c r="L274" s="16"/>
      <c r="M274" s="149"/>
      <c r="N274" s="137"/>
      <c r="O274" s="118"/>
      <c r="P274" s="131"/>
      <c r="Q274" s="150"/>
    </row>
    <row r="275">
      <c r="A275" s="151"/>
      <c r="B275" s="121"/>
      <c r="C275" s="122"/>
      <c r="D275" s="123"/>
      <c r="E275" s="124"/>
      <c r="F275" s="122"/>
      <c r="G275" s="125"/>
      <c r="H275" s="122"/>
      <c r="I275" s="126"/>
      <c r="J275" s="152"/>
      <c r="K275" s="122"/>
      <c r="L275" s="45"/>
      <c r="M275" s="153"/>
      <c r="N275" s="128"/>
      <c r="O275" s="129"/>
      <c r="P275" s="121"/>
      <c r="Q275" s="154"/>
    </row>
    <row r="276">
      <c r="A276" s="147"/>
      <c r="B276" s="131"/>
      <c r="C276" s="132"/>
      <c r="D276" s="119"/>
      <c r="E276" s="133"/>
      <c r="F276" s="132"/>
      <c r="G276" s="134"/>
      <c r="H276" s="132"/>
      <c r="I276" s="135"/>
      <c r="J276" s="148"/>
      <c r="K276" s="132"/>
      <c r="L276" s="16"/>
      <c r="M276" s="149"/>
      <c r="N276" s="137"/>
      <c r="O276" s="118"/>
      <c r="P276" s="131"/>
      <c r="Q276" s="150"/>
    </row>
    <row r="277">
      <c r="A277" s="151"/>
      <c r="B277" s="121"/>
      <c r="C277" s="122"/>
      <c r="D277" s="123"/>
      <c r="E277" s="124"/>
      <c r="F277" s="122"/>
      <c r="G277" s="125"/>
      <c r="H277" s="122"/>
      <c r="I277" s="126"/>
      <c r="J277" s="152"/>
      <c r="K277" s="122"/>
      <c r="L277" s="45"/>
      <c r="M277" s="153"/>
      <c r="N277" s="128"/>
      <c r="O277" s="129"/>
      <c r="P277" s="121"/>
      <c r="Q277" s="154"/>
    </row>
    <row r="278">
      <c r="A278" s="147"/>
      <c r="B278" s="131"/>
      <c r="C278" s="132"/>
      <c r="D278" s="119"/>
      <c r="E278" s="133"/>
      <c r="F278" s="132"/>
      <c r="G278" s="134"/>
      <c r="H278" s="132"/>
      <c r="I278" s="135"/>
      <c r="J278" s="148"/>
      <c r="K278" s="132"/>
      <c r="L278" s="16"/>
      <c r="M278" s="149"/>
      <c r="N278" s="137"/>
      <c r="O278" s="118"/>
      <c r="P278" s="131"/>
      <c r="Q278" s="150"/>
    </row>
    <row r="279">
      <c r="A279" s="151"/>
      <c r="B279" s="121"/>
      <c r="C279" s="122"/>
      <c r="D279" s="123"/>
      <c r="E279" s="124"/>
      <c r="F279" s="122"/>
      <c r="G279" s="125"/>
      <c r="H279" s="122"/>
      <c r="I279" s="126"/>
      <c r="J279" s="152"/>
      <c r="K279" s="122"/>
      <c r="L279" s="45"/>
      <c r="M279" s="153"/>
      <c r="N279" s="128"/>
      <c r="O279" s="129"/>
      <c r="P279" s="121"/>
      <c r="Q279" s="154"/>
    </row>
    <row r="280">
      <c r="A280" s="147"/>
      <c r="B280" s="131"/>
      <c r="C280" s="132"/>
      <c r="D280" s="119"/>
      <c r="E280" s="133"/>
      <c r="F280" s="132"/>
      <c r="G280" s="134"/>
      <c r="H280" s="132"/>
      <c r="I280" s="135"/>
      <c r="J280" s="148"/>
      <c r="K280" s="132"/>
      <c r="L280" s="16"/>
      <c r="M280" s="149"/>
      <c r="N280" s="137"/>
      <c r="O280" s="118"/>
      <c r="P280" s="131"/>
      <c r="Q280" s="150"/>
    </row>
    <row r="281">
      <c r="A281" s="151"/>
      <c r="B281" s="121"/>
      <c r="C281" s="122"/>
      <c r="D281" s="123"/>
      <c r="E281" s="124"/>
      <c r="F281" s="122"/>
      <c r="G281" s="125"/>
      <c r="H281" s="122"/>
      <c r="I281" s="126"/>
      <c r="J281" s="152"/>
      <c r="K281" s="122"/>
      <c r="L281" s="45"/>
      <c r="M281" s="153"/>
      <c r="N281" s="128"/>
      <c r="O281" s="129"/>
      <c r="P281" s="121"/>
      <c r="Q281" s="154"/>
    </row>
    <row r="282">
      <c r="A282" s="147"/>
      <c r="B282" s="131"/>
      <c r="C282" s="132"/>
      <c r="D282" s="119"/>
      <c r="E282" s="133"/>
      <c r="F282" s="132"/>
      <c r="G282" s="134"/>
      <c r="H282" s="132"/>
      <c r="I282" s="135"/>
      <c r="J282" s="148"/>
      <c r="K282" s="132"/>
      <c r="L282" s="16"/>
      <c r="M282" s="149"/>
      <c r="N282" s="137"/>
      <c r="O282" s="118"/>
      <c r="P282" s="131"/>
      <c r="Q282" s="150"/>
    </row>
    <row r="283">
      <c r="A283" s="151"/>
      <c r="B283" s="121"/>
      <c r="C283" s="122"/>
      <c r="D283" s="123"/>
      <c r="E283" s="124"/>
      <c r="F283" s="122"/>
      <c r="G283" s="125"/>
      <c r="H283" s="122"/>
      <c r="I283" s="126"/>
      <c r="J283" s="152"/>
      <c r="K283" s="122"/>
      <c r="L283" s="45"/>
      <c r="M283" s="153"/>
      <c r="N283" s="128"/>
      <c r="O283" s="129"/>
      <c r="P283" s="121"/>
      <c r="Q283" s="154"/>
    </row>
    <row r="284">
      <c r="A284" s="147"/>
      <c r="B284" s="131"/>
      <c r="C284" s="132"/>
      <c r="D284" s="119"/>
      <c r="E284" s="133"/>
      <c r="F284" s="132"/>
      <c r="G284" s="134"/>
      <c r="H284" s="132"/>
      <c r="I284" s="135"/>
      <c r="J284" s="148"/>
      <c r="K284" s="132"/>
      <c r="L284" s="16"/>
      <c r="M284" s="149"/>
      <c r="N284" s="137"/>
      <c r="O284" s="118"/>
      <c r="P284" s="131"/>
      <c r="Q284" s="150"/>
    </row>
    <row r="285">
      <c r="A285" s="151"/>
      <c r="B285" s="121"/>
      <c r="C285" s="122"/>
      <c r="D285" s="123"/>
      <c r="E285" s="124"/>
      <c r="F285" s="122"/>
      <c r="G285" s="125"/>
      <c r="H285" s="122"/>
      <c r="I285" s="126"/>
      <c r="J285" s="152"/>
      <c r="K285" s="122"/>
      <c r="L285" s="45"/>
      <c r="M285" s="153"/>
      <c r="N285" s="128"/>
      <c r="O285" s="129"/>
      <c r="P285" s="121"/>
      <c r="Q285" s="154"/>
    </row>
    <row r="286">
      <c r="A286" s="147"/>
      <c r="B286" s="131"/>
      <c r="C286" s="132"/>
      <c r="D286" s="119"/>
      <c r="E286" s="133"/>
      <c r="F286" s="132"/>
      <c r="G286" s="134"/>
      <c r="H286" s="132"/>
      <c r="I286" s="135"/>
      <c r="J286" s="148"/>
      <c r="K286" s="132"/>
      <c r="L286" s="16"/>
      <c r="M286" s="149"/>
      <c r="N286" s="137"/>
      <c r="O286" s="118"/>
      <c r="P286" s="131"/>
      <c r="Q286" s="150"/>
    </row>
    <row r="287">
      <c r="A287" s="151"/>
      <c r="B287" s="121"/>
      <c r="C287" s="122"/>
      <c r="D287" s="123"/>
      <c r="E287" s="124"/>
      <c r="F287" s="122"/>
      <c r="G287" s="125"/>
      <c r="H287" s="122"/>
      <c r="I287" s="126"/>
      <c r="J287" s="152"/>
      <c r="K287" s="122"/>
      <c r="L287" s="45"/>
      <c r="M287" s="153"/>
      <c r="N287" s="128"/>
      <c r="O287" s="129"/>
      <c r="P287" s="121"/>
      <c r="Q287" s="154"/>
    </row>
    <row r="288">
      <c r="A288" s="147"/>
      <c r="B288" s="131"/>
      <c r="C288" s="132"/>
      <c r="D288" s="119"/>
      <c r="E288" s="133"/>
      <c r="F288" s="132"/>
      <c r="G288" s="134"/>
      <c r="H288" s="132"/>
      <c r="I288" s="135"/>
      <c r="J288" s="148"/>
      <c r="K288" s="132"/>
      <c r="L288" s="16"/>
      <c r="M288" s="149"/>
      <c r="N288" s="137"/>
      <c r="O288" s="118"/>
      <c r="P288" s="131"/>
      <c r="Q288" s="150"/>
    </row>
    <row r="289">
      <c r="A289" s="151"/>
      <c r="B289" s="121"/>
      <c r="C289" s="122"/>
      <c r="D289" s="123"/>
      <c r="E289" s="124"/>
      <c r="F289" s="122"/>
      <c r="G289" s="125"/>
      <c r="H289" s="122"/>
      <c r="I289" s="126"/>
      <c r="J289" s="152"/>
      <c r="K289" s="122"/>
      <c r="L289" s="45"/>
      <c r="M289" s="153"/>
      <c r="N289" s="128"/>
      <c r="O289" s="129"/>
      <c r="P289" s="121"/>
      <c r="Q289" s="154"/>
    </row>
    <row r="290">
      <c r="A290" s="147"/>
      <c r="B290" s="131"/>
      <c r="C290" s="132"/>
      <c r="D290" s="119"/>
      <c r="E290" s="133"/>
      <c r="F290" s="132"/>
      <c r="G290" s="134"/>
      <c r="H290" s="132"/>
      <c r="I290" s="135"/>
      <c r="J290" s="148"/>
      <c r="K290" s="132"/>
      <c r="L290" s="16"/>
      <c r="M290" s="149"/>
      <c r="N290" s="137"/>
      <c r="O290" s="118"/>
      <c r="P290" s="131"/>
      <c r="Q290" s="150"/>
    </row>
    <row r="291">
      <c r="A291" s="151"/>
      <c r="B291" s="121"/>
      <c r="C291" s="122"/>
      <c r="D291" s="123"/>
      <c r="E291" s="124"/>
      <c r="F291" s="122"/>
      <c r="G291" s="125"/>
      <c r="H291" s="122"/>
      <c r="I291" s="126"/>
      <c r="J291" s="152"/>
      <c r="K291" s="122"/>
      <c r="L291" s="45"/>
      <c r="M291" s="153"/>
      <c r="N291" s="128"/>
      <c r="O291" s="129"/>
      <c r="P291" s="121"/>
      <c r="Q291" s="154"/>
    </row>
    <row r="292">
      <c r="A292" s="147"/>
      <c r="B292" s="131"/>
      <c r="C292" s="132"/>
      <c r="D292" s="119"/>
      <c r="E292" s="133"/>
      <c r="F292" s="132"/>
      <c r="G292" s="134"/>
      <c r="H292" s="132"/>
      <c r="I292" s="135"/>
      <c r="J292" s="148"/>
      <c r="K292" s="132"/>
      <c r="L292" s="16"/>
      <c r="M292" s="149"/>
      <c r="N292" s="137"/>
      <c r="O292" s="118"/>
      <c r="P292" s="131"/>
      <c r="Q292" s="150"/>
    </row>
    <row r="293">
      <c r="A293" s="151"/>
      <c r="B293" s="121"/>
      <c r="C293" s="122"/>
      <c r="D293" s="123"/>
      <c r="E293" s="124"/>
      <c r="F293" s="122"/>
      <c r="G293" s="125"/>
      <c r="H293" s="122"/>
      <c r="I293" s="126"/>
      <c r="J293" s="152"/>
      <c r="K293" s="122"/>
      <c r="L293" s="45"/>
      <c r="M293" s="153"/>
      <c r="N293" s="128"/>
      <c r="O293" s="129"/>
      <c r="P293" s="121"/>
      <c r="Q293" s="154"/>
    </row>
    <row r="294">
      <c r="A294" s="147"/>
      <c r="B294" s="131"/>
      <c r="C294" s="132"/>
      <c r="D294" s="119"/>
      <c r="E294" s="133"/>
      <c r="F294" s="132"/>
      <c r="G294" s="134"/>
      <c r="H294" s="132"/>
      <c r="I294" s="135"/>
      <c r="J294" s="148"/>
      <c r="K294" s="132"/>
      <c r="L294" s="16"/>
      <c r="M294" s="149"/>
      <c r="N294" s="137"/>
      <c r="O294" s="118"/>
      <c r="P294" s="131"/>
      <c r="Q294" s="150"/>
    </row>
    <row r="295">
      <c r="A295" s="151"/>
      <c r="B295" s="121"/>
      <c r="C295" s="122"/>
      <c r="D295" s="123"/>
      <c r="E295" s="124"/>
      <c r="F295" s="122"/>
      <c r="G295" s="125"/>
      <c r="H295" s="122"/>
      <c r="I295" s="126"/>
      <c r="J295" s="152"/>
      <c r="K295" s="122"/>
      <c r="L295" s="45"/>
      <c r="M295" s="153"/>
      <c r="N295" s="128"/>
      <c r="O295" s="129"/>
      <c r="P295" s="121"/>
      <c r="Q295" s="154"/>
    </row>
    <row r="296">
      <c r="A296" s="147"/>
      <c r="B296" s="131"/>
      <c r="C296" s="132"/>
      <c r="D296" s="119"/>
      <c r="E296" s="133"/>
      <c r="F296" s="132"/>
      <c r="G296" s="134"/>
      <c r="H296" s="132"/>
      <c r="I296" s="135"/>
      <c r="J296" s="148"/>
      <c r="K296" s="132"/>
      <c r="L296" s="16"/>
      <c r="M296" s="149"/>
      <c r="N296" s="137"/>
      <c r="O296" s="118"/>
      <c r="P296" s="131"/>
      <c r="Q296" s="150"/>
    </row>
    <row r="297">
      <c r="A297" s="151"/>
      <c r="B297" s="121"/>
      <c r="C297" s="122"/>
      <c r="D297" s="123"/>
      <c r="E297" s="124"/>
      <c r="F297" s="122"/>
      <c r="G297" s="125"/>
      <c r="H297" s="122"/>
      <c r="I297" s="126"/>
      <c r="J297" s="152"/>
      <c r="K297" s="122"/>
      <c r="L297" s="45"/>
      <c r="M297" s="153"/>
      <c r="N297" s="128"/>
      <c r="O297" s="129"/>
      <c r="P297" s="121"/>
      <c r="Q297" s="154"/>
    </row>
    <row r="298">
      <c r="A298" s="147"/>
      <c r="B298" s="131"/>
      <c r="C298" s="132"/>
      <c r="D298" s="119"/>
      <c r="E298" s="133"/>
      <c r="F298" s="132"/>
      <c r="G298" s="134"/>
      <c r="H298" s="132"/>
      <c r="I298" s="135"/>
      <c r="J298" s="148"/>
      <c r="K298" s="132"/>
      <c r="L298" s="16"/>
      <c r="M298" s="149"/>
      <c r="N298" s="137"/>
      <c r="O298" s="118"/>
      <c r="P298" s="131"/>
      <c r="Q298" s="150"/>
    </row>
    <row r="299">
      <c r="A299" s="151"/>
      <c r="B299" s="121"/>
      <c r="C299" s="122"/>
      <c r="D299" s="123"/>
      <c r="E299" s="124"/>
      <c r="F299" s="122"/>
      <c r="G299" s="125"/>
      <c r="H299" s="122"/>
      <c r="I299" s="126"/>
      <c r="J299" s="152"/>
      <c r="K299" s="122"/>
      <c r="L299" s="45"/>
      <c r="M299" s="153"/>
      <c r="N299" s="128"/>
      <c r="O299" s="129"/>
      <c r="P299" s="121"/>
      <c r="Q299" s="154"/>
    </row>
    <row r="300">
      <c r="A300" s="147"/>
      <c r="B300" s="131"/>
      <c r="C300" s="132"/>
      <c r="D300" s="119"/>
      <c r="E300" s="133"/>
      <c r="F300" s="132"/>
      <c r="G300" s="134"/>
      <c r="H300" s="132"/>
      <c r="I300" s="135"/>
      <c r="J300" s="148"/>
      <c r="K300" s="132"/>
      <c r="L300" s="16"/>
      <c r="M300" s="149"/>
      <c r="N300" s="137"/>
      <c r="O300" s="118"/>
      <c r="P300" s="131"/>
      <c r="Q300" s="150"/>
    </row>
    <row r="301">
      <c r="A301" s="151"/>
      <c r="B301" s="121"/>
      <c r="C301" s="122"/>
      <c r="D301" s="123"/>
      <c r="E301" s="124"/>
      <c r="F301" s="122"/>
      <c r="G301" s="125"/>
      <c r="H301" s="122"/>
      <c r="I301" s="126"/>
      <c r="J301" s="152"/>
      <c r="K301" s="122"/>
      <c r="L301" s="45"/>
      <c r="M301" s="153"/>
      <c r="N301" s="128"/>
      <c r="O301" s="129"/>
      <c r="P301" s="121"/>
      <c r="Q301" s="154"/>
    </row>
    <row r="302">
      <c r="A302" s="147"/>
      <c r="B302" s="131"/>
      <c r="C302" s="132"/>
      <c r="D302" s="119"/>
      <c r="E302" s="133"/>
      <c r="F302" s="132"/>
      <c r="G302" s="134"/>
      <c r="H302" s="132"/>
      <c r="I302" s="135"/>
      <c r="J302" s="148"/>
      <c r="K302" s="132"/>
      <c r="L302" s="16"/>
      <c r="M302" s="149"/>
      <c r="N302" s="137"/>
      <c r="O302" s="118"/>
      <c r="P302" s="131"/>
      <c r="Q302" s="150"/>
    </row>
    <row r="303">
      <c r="A303" s="151"/>
      <c r="B303" s="121"/>
      <c r="C303" s="122"/>
      <c r="D303" s="123"/>
      <c r="E303" s="124"/>
      <c r="F303" s="122"/>
      <c r="G303" s="125"/>
      <c r="H303" s="122"/>
      <c r="I303" s="126"/>
      <c r="J303" s="152"/>
      <c r="K303" s="122"/>
      <c r="L303" s="45"/>
      <c r="M303" s="153"/>
      <c r="N303" s="128"/>
      <c r="O303" s="129"/>
      <c r="P303" s="121"/>
      <c r="Q303" s="154"/>
    </row>
    <row r="304">
      <c r="A304" s="147"/>
      <c r="B304" s="131"/>
      <c r="C304" s="132"/>
      <c r="D304" s="119"/>
      <c r="E304" s="133"/>
      <c r="F304" s="132"/>
      <c r="G304" s="134"/>
      <c r="H304" s="132"/>
      <c r="I304" s="135"/>
      <c r="J304" s="148"/>
      <c r="K304" s="132"/>
      <c r="L304" s="16"/>
      <c r="M304" s="149"/>
      <c r="N304" s="137"/>
      <c r="O304" s="118"/>
      <c r="P304" s="131"/>
      <c r="Q304" s="150"/>
    </row>
    <row r="305">
      <c r="A305" s="151"/>
      <c r="B305" s="121"/>
      <c r="C305" s="122"/>
      <c r="D305" s="123"/>
      <c r="E305" s="124"/>
      <c r="F305" s="122"/>
      <c r="G305" s="125"/>
      <c r="H305" s="122"/>
      <c r="I305" s="126"/>
      <c r="J305" s="152"/>
      <c r="K305" s="122"/>
      <c r="L305" s="45"/>
      <c r="M305" s="153"/>
      <c r="N305" s="128"/>
      <c r="O305" s="129"/>
      <c r="P305" s="121"/>
      <c r="Q305" s="154"/>
    </row>
    <row r="306">
      <c r="A306" s="147"/>
      <c r="B306" s="131"/>
      <c r="C306" s="132"/>
      <c r="D306" s="119"/>
      <c r="E306" s="133"/>
      <c r="F306" s="132"/>
      <c r="G306" s="134"/>
      <c r="H306" s="132"/>
      <c r="I306" s="135"/>
      <c r="J306" s="148"/>
      <c r="K306" s="132"/>
      <c r="L306" s="16"/>
      <c r="M306" s="149"/>
      <c r="N306" s="137"/>
      <c r="O306" s="118"/>
      <c r="P306" s="131"/>
      <c r="Q306" s="150"/>
    </row>
    <row r="307">
      <c r="A307" s="151"/>
      <c r="B307" s="121"/>
      <c r="C307" s="122"/>
      <c r="D307" s="123"/>
      <c r="E307" s="124"/>
      <c r="F307" s="122"/>
      <c r="G307" s="125"/>
      <c r="H307" s="122"/>
      <c r="I307" s="126"/>
      <c r="J307" s="152"/>
      <c r="K307" s="122"/>
      <c r="L307" s="45"/>
      <c r="M307" s="153"/>
      <c r="N307" s="128"/>
      <c r="O307" s="129"/>
      <c r="P307" s="121"/>
      <c r="Q307" s="154"/>
    </row>
    <row r="308">
      <c r="A308" s="147"/>
      <c r="B308" s="131"/>
      <c r="C308" s="132"/>
      <c r="D308" s="119"/>
      <c r="E308" s="133"/>
      <c r="F308" s="132"/>
      <c r="G308" s="134"/>
      <c r="H308" s="132"/>
      <c r="I308" s="135"/>
      <c r="J308" s="148"/>
      <c r="K308" s="132"/>
      <c r="L308" s="16"/>
      <c r="M308" s="149"/>
      <c r="N308" s="137"/>
      <c r="O308" s="118"/>
      <c r="P308" s="131"/>
      <c r="Q308" s="150"/>
    </row>
    <row r="309">
      <c r="A309" s="151"/>
      <c r="B309" s="121"/>
      <c r="C309" s="122"/>
      <c r="D309" s="123"/>
      <c r="E309" s="124"/>
      <c r="F309" s="122"/>
      <c r="G309" s="125"/>
      <c r="H309" s="122"/>
      <c r="I309" s="126"/>
      <c r="J309" s="152"/>
      <c r="K309" s="122"/>
      <c r="L309" s="45"/>
      <c r="M309" s="153"/>
      <c r="N309" s="128"/>
      <c r="O309" s="129"/>
      <c r="P309" s="121"/>
      <c r="Q309" s="154"/>
    </row>
    <row r="310">
      <c r="A310" s="147"/>
      <c r="B310" s="131"/>
      <c r="C310" s="132"/>
      <c r="D310" s="119"/>
      <c r="E310" s="133"/>
      <c r="F310" s="132"/>
      <c r="G310" s="134"/>
      <c r="H310" s="132"/>
      <c r="I310" s="135"/>
      <c r="J310" s="148"/>
      <c r="K310" s="132"/>
      <c r="L310" s="16"/>
      <c r="M310" s="149"/>
      <c r="N310" s="137"/>
      <c r="O310" s="118"/>
      <c r="P310" s="131"/>
      <c r="Q310" s="150"/>
    </row>
    <row r="311">
      <c r="A311" s="151"/>
      <c r="B311" s="121"/>
      <c r="C311" s="122"/>
      <c r="D311" s="123"/>
      <c r="E311" s="124"/>
      <c r="F311" s="122"/>
      <c r="G311" s="125"/>
      <c r="H311" s="122"/>
      <c r="I311" s="126"/>
      <c r="J311" s="152"/>
      <c r="K311" s="122"/>
      <c r="L311" s="45"/>
      <c r="M311" s="153"/>
      <c r="N311" s="128"/>
      <c r="O311" s="129"/>
      <c r="P311" s="121"/>
      <c r="Q311" s="154"/>
    </row>
    <row r="312">
      <c r="A312" s="147"/>
      <c r="B312" s="131"/>
      <c r="C312" s="132"/>
      <c r="D312" s="119"/>
      <c r="E312" s="133"/>
      <c r="F312" s="132"/>
      <c r="G312" s="134"/>
      <c r="H312" s="132"/>
      <c r="I312" s="135"/>
      <c r="J312" s="148"/>
      <c r="K312" s="132"/>
      <c r="L312" s="16"/>
      <c r="M312" s="149"/>
      <c r="N312" s="137"/>
      <c r="O312" s="118"/>
      <c r="P312" s="131"/>
      <c r="Q312" s="150"/>
    </row>
    <row r="313">
      <c r="A313" s="151"/>
      <c r="B313" s="121"/>
      <c r="C313" s="122"/>
      <c r="D313" s="123"/>
      <c r="E313" s="124"/>
      <c r="F313" s="122"/>
      <c r="G313" s="125"/>
      <c r="H313" s="122"/>
      <c r="I313" s="126"/>
      <c r="J313" s="152"/>
      <c r="K313" s="122"/>
      <c r="L313" s="45"/>
      <c r="M313" s="153"/>
      <c r="N313" s="128"/>
      <c r="O313" s="129"/>
      <c r="P313" s="121"/>
      <c r="Q313" s="154"/>
    </row>
    <row r="314">
      <c r="A314" s="147"/>
      <c r="B314" s="131"/>
      <c r="C314" s="132"/>
      <c r="D314" s="119"/>
      <c r="E314" s="133"/>
      <c r="F314" s="132"/>
      <c r="G314" s="134"/>
      <c r="H314" s="132"/>
      <c r="I314" s="135"/>
      <c r="J314" s="148"/>
      <c r="K314" s="132"/>
      <c r="L314" s="16"/>
      <c r="M314" s="149"/>
      <c r="N314" s="137"/>
      <c r="O314" s="118"/>
      <c r="P314" s="131"/>
      <c r="Q314" s="150"/>
    </row>
    <row r="315">
      <c r="A315" s="151"/>
      <c r="B315" s="121"/>
      <c r="C315" s="122"/>
      <c r="D315" s="123"/>
      <c r="E315" s="124"/>
      <c r="F315" s="122"/>
      <c r="G315" s="125"/>
      <c r="H315" s="122"/>
      <c r="I315" s="126"/>
      <c r="J315" s="152"/>
      <c r="K315" s="122"/>
      <c r="L315" s="45"/>
      <c r="M315" s="153"/>
      <c r="N315" s="128"/>
      <c r="O315" s="129"/>
      <c r="P315" s="121"/>
      <c r="Q315" s="154"/>
    </row>
    <row r="316">
      <c r="A316" s="147"/>
      <c r="B316" s="131"/>
      <c r="C316" s="132"/>
      <c r="D316" s="119"/>
      <c r="E316" s="133"/>
      <c r="F316" s="132"/>
      <c r="G316" s="134"/>
      <c r="H316" s="132"/>
      <c r="I316" s="135"/>
      <c r="J316" s="148"/>
      <c r="K316" s="132"/>
      <c r="L316" s="16"/>
      <c r="M316" s="149"/>
      <c r="N316" s="137"/>
      <c r="O316" s="118"/>
      <c r="P316" s="131"/>
      <c r="Q316" s="150"/>
    </row>
    <row r="317">
      <c r="A317" s="151"/>
      <c r="B317" s="121"/>
      <c r="C317" s="122"/>
      <c r="D317" s="123"/>
      <c r="E317" s="124"/>
      <c r="F317" s="122"/>
      <c r="G317" s="125"/>
      <c r="H317" s="122"/>
      <c r="I317" s="126"/>
      <c r="J317" s="152"/>
      <c r="K317" s="122"/>
      <c r="L317" s="45"/>
      <c r="M317" s="153"/>
      <c r="N317" s="128"/>
      <c r="O317" s="129"/>
      <c r="P317" s="121"/>
      <c r="Q317" s="154"/>
    </row>
    <row r="318">
      <c r="A318" s="147"/>
      <c r="B318" s="131"/>
      <c r="C318" s="132"/>
      <c r="D318" s="119"/>
      <c r="E318" s="133"/>
      <c r="F318" s="132"/>
      <c r="G318" s="134"/>
      <c r="H318" s="132"/>
      <c r="I318" s="135"/>
      <c r="J318" s="148"/>
      <c r="K318" s="132"/>
      <c r="L318" s="16"/>
      <c r="M318" s="149"/>
      <c r="N318" s="137"/>
      <c r="O318" s="118"/>
      <c r="P318" s="131"/>
      <c r="Q318" s="150"/>
    </row>
    <row r="319">
      <c r="A319" s="151"/>
      <c r="B319" s="121"/>
      <c r="C319" s="122"/>
      <c r="D319" s="123"/>
      <c r="E319" s="124"/>
      <c r="F319" s="122"/>
      <c r="G319" s="125"/>
      <c r="H319" s="122"/>
      <c r="I319" s="126"/>
      <c r="J319" s="152"/>
      <c r="K319" s="122"/>
      <c r="L319" s="45"/>
      <c r="M319" s="153"/>
      <c r="N319" s="128"/>
      <c r="O319" s="129"/>
      <c r="P319" s="121"/>
      <c r="Q319" s="154"/>
    </row>
    <row r="320">
      <c r="A320" s="147"/>
      <c r="B320" s="131"/>
      <c r="C320" s="132"/>
      <c r="D320" s="119"/>
      <c r="E320" s="133"/>
      <c r="F320" s="132"/>
      <c r="G320" s="134"/>
      <c r="H320" s="132"/>
      <c r="I320" s="135"/>
      <c r="J320" s="148"/>
      <c r="K320" s="132"/>
      <c r="L320" s="16"/>
      <c r="M320" s="149"/>
      <c r="N320" s="137"/>
      <c r="O320" s="118"/>
      <c r="P320" s="131"/>
      <c r="Q320" s="150"/>
    </row>
    <row r="321">
      <c r="A321" s="151"/>
      <c r="B321" s="121"/>
      <c r="C321" s="122"/>
      <c r="D321" s="123"/>
      <c r="E321" s="124"/>
      <c r="F321" s="122"/>
      <c r="G321" s="125"/>
      <c r="H321" s="122"/>
      <c r="I321" s="126"/>
      <c r="J321" s="152"/>
      <c r="K321" s="122"/>
      <c r="L321" s="45"/>
      <c r="M321" s="153"/>
      <c r="N321" s="128"/>
      <c r="O321" s="129"/>
      <c r="P321" s="121"/>
      <c r="Q321" s="154"/>
    </row>
    <row r="322">
      <c r="A322" s="147"/>
      <c r="B322" s="131"/>
      <c r="C322" s="132"/>
      <c r="D322" s="119"/>
      <c r="E322" s="133"/>
      <c r="F322" s="132"/>
      <c r="G322" s="134"/>
      <c r="H322" s="132"/>
      <c r="I322" s="135"/>
      <c r="J322" s="148"/>
      <c r="K322" s="132"/>
      <c r="L322" s="16"/>
      <c r="M322" s="149"/>
      <c r="N322" s="137"/>
      <c r="O322" s="118"/>
      <c r="P322" s="131"/>
      <c r="Q322" s="150"/>
    </row>
    <row r="323">
      <c r="A323" s="151"/>
      <c r="B323" s="121"/>
      <c r="C323" s="122"/>
      <c r="D323" s="123"/>
      <c r="E323" s="124"/>
      <c r="F323" s="122"/>
      <c r="G323" s="125"/>
      <c r="H323" s="122"/>
      <c r="I323" s="126"/>
      <c r="J323" s="152"/>
      <c r="K323" s="122"/>
      <c r="L323" s="45"/>
      <c r="M323" s="153"/>
      <c r="N323" s="128"/>
      <c r="O323" s="129"/>
      <c r="P323" s="121"/>
      <c r="Q323" s="154"/>
    </row>
    <row r="324">
      <c r="A324" s="147"/>
      <c r="B324" s="131"/>
      <c r="C324" s="132"/>
      <c r="D324" s="119"/>
      <c r="E324" s="133"/>
      <c r="F324" s="132"/>
      <c r="G324" s="134"/>
      <c r="H324" s="132"/>
      <c r="I324" s="135"/>
      <c r="J324" s="148"/>
      <c r="K324" s="132"/>
      <c r="L324" s="16"/>
      <c r="M324" s="149"/>
      <c r="N324" s="137"/>
      <c r="O324" s="118"/>
      <c r="P324" s="131"/>
      <c r="Q324" s="150"/>
    </row>
    <row r="325">
      <c r="A325" s="151"/>
      <c r="B325" s="121"/>
      <c r="C325" s="122"/>
      <c r="D325" s="123"/>
      <c r="E325" s="124"/>
      <c r="F325" s="122"/>
      <c r="G325" s="125"/>
      <c r="H325" s="122"/>
      <c r="I325" s="126"/>
      <c r="J325" s="152"/>
      <c r="K325" s="122"/>
      <c r="L325" s="45"/>
      <c r="M325" s="153"/>
      <c r="N325" s="128"/>
      <c r="O325" s="129"/>
      <c r="P325" s="121"/>
      <c r="Q325" s="154"/>
    </row>
    <row r="326">
      <c r="A326" s="147"/>
      <c r="B326" s="131"/>
      <c r="C326" s="132"/>
      <c r="D326" s="119"/>
      <c r="E326" s="133"/>
      <c r="F326" s="132"/>
      <c r="G326" s="134"/>
      <c r="H326" s="132"/>
      <c r="I326" s="135"/>
      <c r="J326" s="148"/>
      <c r="K326" s="132"/>
      <c r="L326" s="16"/>
      <c r="M326" s="149"/>
      <c r="N326" s="137"/>
      <c r="O326" s="118"/>
      <c r="P326" s="131"/>
      <c r="Q326" s="150"/>
    </row>
    <row r="327">
      <c r="A327" s="151"/>
      <c r="B327" s="121"/>
      <c r="C327" s="122"/>
      <c r="D327" s="123"/>
      <c r="E327" s="124"/>
      <c r="F327" s="122"/>
      <c r="G327" s="125"/>
      <c r="H327" s="122"/>
      <c r="I327" s="126"/>
      <c r="J327" s="152"/>
      <c r="K327" s="122"/>
      <c r="L327" s="45"/>
      <c r="M327" s="153"/>
      <c r="N327" s="128"/>
      <c r="O327" s="129"/>
      <c r="P327" s="121"/>
      <c r="Q327" s="154"/>
    </row>
    <row r="328">
      <c r="A328" s="147"/>
      <c r="B328" s="131"/>
      <c r="C328" s="132"/>
      <c r="D328" s="119"/>
      <c r="E328" s="133"/>
      <c r="F328" s="132"/>
      <c r="G328" s="134"/>
      <c r="H328" s="132"/>
      <c r="I328" s="135"/>
      <c r="J328" s="148"/>
      <c r="K328" s="132"/>
      <c r="L328" s="16"/>
      <c r="M328" s="149"/>
      <c r="N328" s="137"/>
      <c r="O328" s="118"/>
      <c r="P328" s="131"/>
      <c r="Q328" s="150"/>
    </row>
    <row r="329">
      <c r="A329" s="151"/>
      <c r="B329" s="121"/>
      <c r="C329" s="122"/>
      <c r="D329" s="123"/>
      <c r="E329" s="124"/>
      <c r="F329" s="122"/>
      <c r="G329" s="125"/>
      <c r="H329" s="122"/>
      <c r="I329" s="126"/>
      <c r="J329" s="152"/>
      <c r="K329" s="122"/>
      <c r="L329" s="45"/>
      <c r="M329" s="153"/>
      <c r="N329" s="128"/>
      <c r="O329" s="129"/>
      <c r="P329" s="121"/>
      <c r="Q329" s="154"/>
    </row>
    <row r="330">
      <c r="A330" s="147"/>
      <c r="B330" s="131"/>
      <c r="C330" s="132"/>
      <c r="D330" s="119"/>
      <c r="E330" s="133"/>
      <c r="F330" s="132"/>
      <c r="G330" s="134"/>
      <c r="H330" s="132"/>
      <c r="I330" s="135"/>
      <c r="J330" s="148"/>
      <c r="K330" s="132"/>
      <c r="L330" s="16"/>
      <c r="M330" s="149"/>
      <c r="N330" s="137"/>
      <c r="O330" s="118"/>
      <c r="P330" s="131"/>
      <c r="Q330" s="150"/>
    </row>
    <row r="331">
      <c r="A331" s="151"/>
      <c r="B331" s="121"/>
      <c r="C331" s="122"/>
      <c r="D331" s="123"/>
      <c r="E331" s="124"/>
      <c r="F331" s="122"/>
      <c r="G331" s="125"/>
      <c r="H331" s="122"/>
      <c r="I331" s="126"/>
      <c r="J331" s="152"/>
      <c r="K331" s="122"/>
      <c r="L331" s="45"/>
      <c r="M331" s="153"/>
      <c r="N331" s="128"/>
      <c r="O331" s="129"/>
      <c r="P331" s="121"/>
      <c r="Q331" s="154"/>
    </row>
    <row r="332">
      <c r="A332" s="147"/>
      <c r="B332" s="131"/>
      <c r="C332" s="132"/>
      <c r="D332" s="119"/>
      <c r="E332" s="133"/>
      <c r="F332" s="132"/>
      <c r="G332" s="134"/>
      <c r="H332" s="132"/>
      <c r="I332" s="135"/>
      <c r="J332" s="148"/>
      <c r="K332" s="132"/>
      <c r="L332" s="16"/>
      <c r="M332" s="149"/>
      <c r="N332" s="137"/>
      <c r="O332" s="118"/>
      <c r="P332" s="131"/>
      <c r="Q332" s="150"/>
    </row>
    <row r="333">
      <c r="A333" s="151"/>
      <c r="B333" s="121"/>
      <c r="C333" s="122"/>
      <c r="D333" s="123"/>
      <c r="E333" s="124"/>
      <c r="F333" s="122"/>
      <c r="G333" s="125"/>
      <c r="H333" s="122"/>
      <c r="I333" s="126"/>
      <c r="J333" s="152"/>
      <c r="K333" s="122"/>
      <c r="L333" s="45"/>
      <c r="M333" s="153"/>
      <c r="N333" s="128"/>
      <c r="O333" s="129"/>
      <c r="P333" s="121"/>
      <c r="Q333" s="154"/>
    </row>
    <row r="334">
      <c r="A334" s="147"/>
      <c r="B334" s="131"/>
      <c r="C334" s="132"/>
      <c r="D334" s="119"/>
      <c r="E334" s="133"/>
      <c r="F334" s="132"/>
      <c r="G334" s="134"/>
      <c r="H334" s="132"/>
      <c r="I334" s="135"/>
      <c r="J334" s="148"/>
      <c r="K334" s="132"/>
      <c r="L334" s="16"/>
      <c r="M334" s="149"/>
      <c r="N334" s="137"/>
      <c r="O334" s="118"/>
      <c r="P334" s="131"/>
      <c r="Q334" s="150"/>
    </row>
    <row r="335">
      <c r="A335" s="151"/>
      <c r="B335" s="121"/>
      <c r="C335" s="122"/>
      <c r="D335" s="123"/>
      <c r="E335" s="124"/>
      <c r="F335" s="122"/>
      <c r="G335" s="125"/>
      <c r="H335" s="122"/>
      <c r="I335" s="126"/>
      <c r="J335" s="152"/>
      <c r="K335" s="122"/>
      <c r="L335" s="45"/>
      <c r="M335" s="153"/>
      <c r="N335" s="128"/>
      <c r="O335" s="129"/>
      <c r="P335" s="121"/>
      <c r="Q335" s="154"/>
    </row>
    <row r="336">
      <c r="A336" s="147"/>
      <c r="B336" s="131"/>
      <c r="C336" s="132"/>
      <c r="D336" s="119"/>
      <c r="E336" s="133"/>
      <c r="F336" s="132"/>
      <c r="G336" s="134"/>
      <c r="H336" s="132"/>
      <c r="I336" s="135"/>
      <c r="J336" s="148"/>
      <c r="K336" s="132"/>
      <c r="L336" s="16"/>
      <c r="M336" s="149"/>
      <c r="N336" s="137"/>
      <c r="O336" s="118"/>
      <c r="P336" s="131"/>
      <c r="Q336" s="150"/>
    </row>
    <row r="337">
      <c r="A337" s="151"/>
      <c r="B337" s="121"/>
      <c r="C337" s="122"/>
      <c r="D337" s="123"/>
      <c r="E337" s="124"/>
      <c r="F337" s="122"/>
      <c r="G337" s="125"/>
      <c r="H337" s="122"/>
      <c r="I337" s="126"/>
      <c r="J337" s="152"/>
      <c r="K337" s="122"/>
      <c r="L337" s="45"/>
      <c r="M337" s="153"/>
      <c r="N337" s="128"/>
      <c r="O337" s="129"/>
      <c r="P337" s="121"/>
      <c r="Q337" s="154"/>
    </row>
    <row r="338">
      <c r="A338" s="147"/>
      <c r="B338" s="131"/>
      <c r="C338" s="132"/>
      <c r="D338" s="119"/>
      <c r="E338" s="133"/>
      <c r="F338" s="132"/>
      <c r="G338" s="134"/>
      <c r="H338" s="132"/>
      <c r="I338" s="135"/>
      <c r="J338" s="148"/>
      <c r="K338" s="132"/>
      <c r="L338" s="16"/>
      <c r="M338" s="149"/>
      <c r="N338" s="137"/>
      <c r="O338" s="118"/>
      <c r="P338" s="131"/>
      <c r="Q338" s="150"/>
    </row>
    <row r="339">
      <c r="A339" s="151"/>
      <c r="B339" s="121"/>
      <c r="C339" s="122"/>
      <c r="D339" s="123"/>
      <c r="E339" s="124"/>
      <c r="F339" s="122"/>
      <c r="G339" s="125"/>
      <c r="H339" s="122"/>
      <c r="I339" s="126"/>
      <c r="J339" s="152"/>
      <c r="K339" s="122"/>
      <c r="L339" s="45"/>
      <c r="M339" s="153"/>
      <c r="N339" s="128"/>
      <c r="O339" s="129"/>
      <c r="P339" s="121"/>
      <c r="Q339" s="154"/>
    </row>
    <row r="340">
      <c r="A340" s="147"/>
      <c r="B340" s="131"/>
      <c r="C340" s="132"/>
      <c r="D340" s="119"/>
      <c r="E340" s="133"/>
      <c r="F340" s="132"/>
      <c r="G340" s="134"/>
      <c r="H340" s="132"/>
      <c r="I340" s="135"/>
      <c r="J340" s="148"/>
      <c r="K340" s="132"/>
      <c r="L340" s="16"/>
      <c r="M340" s="149"/>
      <c r="N340" s="137"/>
      <c r="O340" s="118"/>
      <c r="P340" s="131"/>
      <c r="Q340" s="150"/>
    </row>
    <row r="341">
      <c r="A341" s="151"/>
      <c r="B341" s="121"/>
      <c r="C341" s="122"/>
      <c r="D341" s="123"/>
      <c r="E341" s="124"/>
      <c r="F341" s="122"/>
      <c r="G341" s="125"/>
      <c r="H341" s="122"/>
      <c r="I341" s="126"/>
      <c r="J341" s="152"/>
      <c r="K341" s="122"/>
      <c r="L341" s="45"/>
      <c r="M341" s="153"/>
      <c r="N341" s="128"/>
      <c r="O341" s="129"/>
      <c r="P341" s="121"/>
      <c r="Q341" s="154"/>
    </row>
    <row r="342">
      <c r="A342" s="147"/>
      <c r="B342" s="131"/>
      <c r="C342" s="132"/>
      <c r="D342" s="119"/>
      <c r="E342" s="133"/>
      <c r="F342" s="132"/>
      <c r="G342" s="134"/>
      <c r="H342" s="132"/>
      <c r="I342" s="135"/>
      <c r="J342" s="148"/>
      <c r="K342" s="132"/>
      <c r="L342" s="16"/>
      <c r="M342" s="149"/>
      <c r="N342" s="137"/>
      <c r="O342" s="118"/>
      <c r="P342" s="131"/>
      <c r="Q342" s="150"/>
    </row>
    <row r="343">
      <c r="A343" s="151"/>
      <c r="B343" s="121"/>
      <c r="C343" s="122"/>
      <c r="D343" s="123"/>
      <c r="E343" s="124"/>
      <c r="F343" s="122"/>
      <c r="G343" s="125"/>
      <c r="H343" s="122"/>
      <c r="I343" s="126"/>
      <c r="J343" s="152"/>
      <c r="K343" s="122"/>
      <c r="L343" s="45"/>
      <c r="M343" s="153"/>
      <c r="N343" s="128"/>
      <c r="O343" s="129"/>
      <c r="P343" s="121"/>
      <c r="Q343" s="154"/>
    </row>
    <row r="344">
      <c r="A344" s="147"/>
      <c r="B344" s="131"/>
      <c r="C344" s="132"/>
      <c r="D344" s="119"/>
      <c r="E344" s="133"/>
      <c r="F344" s="132"/>
      <c r="G344" s="134"/>
      <c r="H344" s="132"/>
      <c r="I344" s="135"/>
      <c r="J344" s="148"/>
      <c r="K344" s="132"/>
      <c r="L344" s="16"/>
      <c r="M344" s="149"/>
      <c r="N344" s="137"/>
      <c r="O344" s="118"/>
      <c r="P344" s="131"/>
      <c r="Q344" s="150"/>
    </row>
    <row r="345">
      <c r="A345" s="151"/>
      <c r="B345" s="121"/>
      <c r="C345" s="122"/>
      <c r="D345" s="123"/>
      <c r="E345" s="124"/>
      <c r="F345" s="122"/>
      <c r="G345" s="125"/>
      <c r="H345" s="122"/>
      <c r="I345" s="126"/>
      <c r="J345" s="152"/>
      <c r="K345" s="122"/>
      <c r="L345" s="45"/>
      <c r="M345" s="153"/>
      <c r="N345" s="128"/>
      <c r="O345" s="129"/>
      <c r="P345" s="121"/>
      <c r="Q345" s="154"/>
    </row>
    <row r="346">
      <c r="A346" s="147"/>
      <c r="B346" s="131"/>
      <c r="C346" s="132"/>
      <c r="D346" s="119"/>
      <c r="E346" s="133"/>
      <c r="F346" s="132"/>
      <c r="G346" s="134"/>
      <c r="H346" s="132"/>
      <c r="I346" s="135"/>
      <c r="J346" s="148"/>
      <c r="K346" s="132"/>
      <c r="L346" s="16"/>
      <c r="M346" s="149"/>
      <c r="N346" s="137"/>
      <c r="O346" s="118"/>
      <c r="P346" s="131"/>
      <c r="Q346" s="150"/>
    </row>
    <row r="347">
      <c r="A347" s="151"/>
      <c r="B347" s="121"/>
      <c r="C347" s="122"/>
      <c r="D347" s="123"/>
      <c r="E347" s="124"/>
      <c r="F347" s="122"/>
      <c r="G347" s="125"/>
      <c r="H347" s="122"/>
      <c r="I347" s="126"/>
      <c r="J347" s="152"/>
      <c r="K347" s="122"/>
      <c r="L347" s="45"/>
      <c r="M347" s="153"/>
      <c r="N347" s="128"/>
      <c r="O347" s="129"/>
      <c r="P347" s="121"/>
      <c r="Q347" s="154"/>
    </row>
    <row r="348">
      <c r="A348" s="147"/>
      <c r="B348" s="131"/>
      <c r="C348" s="132"/>
      <c r="D348" s="119"/>
      <c r="E348" s="133"/>
      <c r="F348" s="132"/>
      <c r="G348" s="134"/>
      <c r="H348" s="132"/>
      <c r="I348" s="135"/>
      <c r="J348" s="148"/>
      <c r="K348" s="132"/>
      <c r="L348" s="16"/>
      <c r="M348" s="149"/>
      <c r="N348" s="137"/>
      <c r="O348" s="118"/>
      <c r="P348" s="131"/>
      <c r="Q348" s="150"/>
    </row>
    <row r="349">
      <c r="A349" s="151"/>
      <c r="B349" s="121"/>
      <c r="C349" s="122"/>
      <c r="D349" s="123"/>
      <c r="E349" s="124"/>
      <c r="F349" s="122"/>
      <c r="G349" s="125"/>
      <c r="H349" s="122"/>
      <c r="I349" s="126"/>
      <c r="J349" s="152"/>
      <c r="K349" s="122"/>
      <c r="L349" s="45"/>
      <c r="M349" s="153"/>
      <c r="N349" s="128"/>
      <c r="O349" s="129"/>
      <c r="P349" s="121"/>
      <c r="Q349" s="154"/>
    </row>
    <row r="350">
      <c r="A350" s="147"/>
      <c r="B350" s="131"/>
      <c r="C350" s="132"/>
      <c r="D350" s="119"/>
      <c r="E350" s="133"/>
      <c r="F350" s="132"/>
      <c r="G350" s="134"/>
      <c r="H350" s="132"/>
      <c r="I350" s="135"/>
      <c r="J350" s="148"/>
      <c r="K350" s="132"/>
      <c r="L350" s="16"/>
      <c r="M350" s="149"/>
      <c r="N350" s="137"/>
      <c r="O350" s="118"/>
      <c r="P350" s="131"/>
      <c r="Q350" s="150"/>
    </row>
    <row r="351">
      <c r="A351" s="151"/>
      <c r="B351" s="121"/>
      <c r="C351" s="122"/>
      <c r="D351" s="123"/>
      <c r="E351" s="124"/>
      <c r="F351" s="122"/>
      <c r="G351" s="125"/>
      <c r="H351" s="122"/>
      <c r="I351" s="126"/>
      <c r="J351" s="152"/>
      <c r="K351" s="122"/>
      <c r="L351" s="45"/>
      <c r="M351" s="153"/>
      <c r="N351" s="128"/>
      <c r="O351" s="129"/>
      <c r="P351" s="121"/>
      <c r="Q351" s="154"/>
    </row>
    <row r="352">
      <c r="A352" s="147"/>
      <c r="B352" s="131"/>
      <c r="C352" s="132"/>
      <c r="D352" s="119"/>
      <c r="E352" s="133"/>
      <c r="F352" s="132"/>
      <c r="G352" s="134"/>
      <c r="H352" s="132"/>
      <c r="I352" s="135"/>
      <c r="J352" s="148"/>
      <c r="K352" s="132"/>
      <c r="L352" s="16"/>
      <c r="M352" s="149"/>
      <c r="N352" s="137"/>
      <c r="O352" s="118"/>
      <c r="P352" s="131"/>
      <c r="Q352" s="150"/>
    </row>
    <row r="353">
      <c r="A353" s="151"/>
      <c r="B353" s="121"/>
      <c r="C353" s="122"/>
      <c r="D353" s="123"/>
      <c r="E353" s="124"/>
      <c r="F353" s="122"/>
      <c r="G353" s="125"/>
      <c r="H353" s="122"/>
      <c r="I353" s="126"/>
      <c r="J353" s="152"/>
      <c r="K353" s="122"/>
      <c r="L353" s="45"/>
      <c r="M353" s="153"/>
      <c r="N353" s="128"/>
      <c r="O353" s="129"/>
      <c r="P353" s="121"/>
      <c r="Q353" s="154"/>
    </row>
    <row r="354">
      <c r="A354" s="147"/>
      <c r="B354" s="131"/>
      <c r="C354" s="132"/>
      <c r="D354" s="119"/>
      <c r="E354" s="133"/>
      <c r="F354" s="132"/>
      <c r="G354" s="134"/>
      <c r="H354" s="132"/>
      <c r="I354" s="135"/>
      <c r="J354" s="148"/>
      <c r="K354" s="132"/>
      <c r="L354" s="16"/>
      <c r="M354" s="149"/>
      <c r="N354" s="137"/>
      <c r="O354" s="118"/>
      <c r="P354" s="131"/>
      <c r="Q354" s="150"/>
    </row>
    <row r="355">
      <c r="A355" s="151"/>
      <c r="B355" s="121"/>
      <c r="C355" s="122"/>
      <c r="D355" s="123"/>
      <c r="E355" s="124"/>
      <c r="F355" s="122"/>
      <c r="G355" s="125"/>
      <c r="H355" s="122"/>
      <c r="I355" s="126"/>
      <c r="J355" s="152"/>
      <c r="K355" s="122"/>
      <c r="L355" s="45"/>
      <c r="M355" s="153"/>
      <c r="N355" s="128"/>
      <c r="O355" s="129"/>
      <c r="P355" s="121"/>
      <c r="Q355" s="154"/>
    </row>
    <row r="356">
      <c r="A356" s="147"/>
      <c r="B356" s="131"/>
      <c r="C356" s="132"/>
      <c r="D356" s="119"/>
      <c r="E356" s="133"/>
      <c r="F356" s="132"/>
      <c r="G356" s="134"/>
      <c r="H356" s="132"/>
      <c r="I356" s="135"/>
      <c r="J356" s="148"/>
      <c r="K356" s="132"/>
      <c r="L356" s="16"/>
      <c r="M356" s="149"/>
      <c r="N356" s="137"/>
      <c r="O356" s="118"/>
      <c r="P356" s="131"/>
      <c r="Q356" s="150"/>
    </row>
    <row r="357">
      <c r="A357" s="151"/>
      <c r="B357" s="121"/>
      <c r="C357" s="122"/>
      <c r="D357" s="123"/>
      <c r="E357" s="124"/>
      <c r="F357" s="122"/>
      <c r="G357" s="125"/>
      <c r="H357" s="122"/>
      <c r="I357" s="126"/>
      <c r="J357" s="152"/>
      <c r="K357" s="122"/>
      <c r="L357" s="45"/>
      <c r="M357" s="153"/>
      <c r="N357" s="128"/>
      <c r="O357" s="129"/>
      <c r="P357" s="121"/>
      <c r="Q357" s="154"/>
    </row>
    <row r="358">
      <c r="A358" s="147"/>
      <c r="B358" s="131"/>
      <c r="C358" s="132"/>
      <c r="D358" s="119"/>
      <c r="E358" s="133"/>
      <c r="F358" s="132"/>
      <c r="G358" s="134"/>
      <c r="H358" s="132"/>
      <c r="I358" s="135"/>
      <c r="J358" s="148"/>
      <c r="K358" s="132"/>
      <c r="L358" s="16"/>
      <c r="M358" s="149"/>
      <c r="N358" s="137"/>
      <c r="O358" s="118"/>
      <c r="P358" s="131"/>
      <c r="Q358" s="150"/>
    </row>
    <row r="359">
      <c r="A359" s="151"/>
      <c r="B359" s="121"/>
      <c r="C359" s="122"/>
      <c r="D359" s="123"/>
      <c r="E359" s="124"/>
      <c r="F359" s="122"/>
      <c r="G359" s="125"/>
      <c r="H359" s="122"/>
      <c r="I359" s="126"/>
      <c r="J359" s="152"/>
      <c r="K359" s="122"/>
      <c r="L359" s="45"/>
      <c r="M359" s="153"/>
      <c r="N359" s="128"/>
      <c r="O359" s="129"/>
      <c r="P359" s="121"/>
      <c r="Q359" s="154"/>
    </row>
    <row r="360">
      <c r="A360" s="147"/>
      <c r="B360" s="131"/>
      <c r="C360" s="132"/>
      <c r="D360" s="119"/>
      <c r="E360" s="133"/>
      <c r="F360" s="132"/>
      <c r="G360" s="134"/>
      <c r="H360" s="132"/>
      <c r="I360" s="135"/>
      <c r="J360" s="148"/>
      <c r="K360" s="132"/>
      <c r="L360" s="16"/>
      <c r="M360" s="149"/>
      <c r="N360" s="137"/>
      <c r="O360" s="118"/>
      <c r="P360" s="131"/>
      <c r="Q360" s="150"/>
    </row>
    <row r="361">
      <c r="A361" s="151"/>
      <c r="B361" s="121"/>
      <c r="C361" s="122"/>
      <c r="D361" s="123"/>
      <c r="E361" s="124"/>
      <c r="F361" s="122"/>
      <c r="G361" s="125"/>
      <c r="H361" s="122"/>
      <c r="I361" s="126"/>
      <c r="J361" s="152"/>
      <c r="K361" s="122"/>
      <c r="L361" s="45"/>
      <c r="M361" s="153"/>
      <c r="N361" s="128"/>
      <c r="O361" s="129"/>
      <c r="P361" s="121"/>
      <c r="Q361" s="154"/>
    </row>
    <row r="362">
      <c r="A362" s="147"/>
      <c r="B362" s="131"/>
      <c r="C362" s="132"/>
      <c r="D362" s="119"/>
      <c r="E362" s="133"/>
      <c r="F362" s="132"/>
      <c r="G362" s="134"/>
      <c r="H362" s="132"/>
      <c r="I362" s="135"/>
      <c r="J362" s="148"/>
      <c r="K362" s="132"/>
      <c r="L362" s="16"/>
      <c r="M362" s="149"/>
      <c r="N362" s="137"/>
      <c r="O362" s="118"/>
      <c r="P362" s="131"/>
      <c r="Q362" s="150"/>
    </row>
    <row r="363">
      <c r="A363" s="151"/>
      <c r="B363" s="121"/>
      <c r="C363" s="122"/>
      <c r="D363" s="123"/>
      <c r="E363" s="124"/>
      <c r="F363" s="122"/>
      <c r="G363" s="125"/>
      <c r="H363" s="122"/>
      <c r="I363" s="126"/>
      <c r="J363" s="152"/>
      <c r="K363" s="122"/>
      <c r="L363" s="45"/>
      <c r="M363" s="153"/>
      <c r="N363" s="128"/>
      <c r="O363" s="129"/>
      <c r="P363" s="121"/>
      <c r="Q363" s="154"/>
    </row>
    <row r="364">
      <c r="A364" s="147"/>
      <c r="B364" s="131"/>
      <c r="C364" s="132"/>
      <c r="D364" s="119"/>
      <c r="E364" s="133"/>
      <c r="F364" s="132"/>
      <c r="G364" s="134"/>
      <c r="H364" s="132"/>
      <c r="I364" s="135"/>
      <c r="J364" s="148"/>
      <c r="K364" s="132"/>
      <c r="L364" s="16"/>
      <c r="M364" s="149"/>
      <c r="N364" s="137"/>
      <c r="O364" s="118"/>
      <c r="P364" s="131"/>
      <c r="Q364" s="150"/>
    </row>
    <row r="365">
      <c r="A365" s="151"/>
      <c r="B365" s="121"/>
      <c r="C365" s="122"/>
      <c r="D365" s="123"/>
      <c r="E365" s="124"/>
      <c r="F365" s="122"/>
      <c r="G365" s="125"/>
      <c r="H365" s="122"/>
      <c r="I365" s="126"/>
      <c r="J365" s="152"/>
      <c r="K365" s="122"/>
      <c r="L365" s="45"/>
      <c r="M365" s="153"/>
      <c r="N365" s="128"/>
      <c r="O365" s="129"/>
      <c r="P365" s="121"/>
      <c r="Q365" s="154"/>
    </row>
    <row r="366">
      <c r="A366" s="147"/>
      <c r="B366" s="131"/>
      <c r="C366" s="132"/>
      <c r="D366" s="119"/>
      <c r="E366" s="133"/>
      <c r="F366" s="132"/>
      <c r="G366" s="134"/>
      <c r="H366" s="132"/>
      <c r="I366" s="135"/>
      <c r="J366" s="148"/>
      <c r="K366" s="132"/>
      <c r="L366" s="16"/>
      <c r="M366" s="149"/>
      <c r="N366" s="137"/>
      <c r="O366" s="118"/>
      <c r="P366" s="131"/>
      <c r="Q366" s="150"/>
    </row>
    <row r="367">
      <c r="A367" s="151"/>
      <c r="B367" s="121"/>
      <c r="C367" s="122"/>
      <c r="D367" s="123"/>
      <c r="E367" s="124"/>
      <c r="F367" s="122"/>
      <c r="G367" s="125"/>
      <c r="H367" s="122"/>
      <c r="I367" s="126"/>
      <c r="J367" s="152"/>
      <c r="K367" s="122"/>
      <c r="L367" s="45"/>
      <c r="M367" s="153"/>
      <c r="N367" s="128"/>
      <c r="O367" s="129"/>
      <c r="P367" s="121"/>
      <c r="Q367" s="154"/>
    </row>
    <row r="368">
      <c r="A368" s="147"/>
      <c r="B368" s="131"/>
      <c r="C368" s="132"/>
      <c r="D368" s="119"/>
      <c r="E368" s="133"/>
      <c r="F368" s="132"/>
      <c r="G368" s="134"/>
      <c r="H368" s="132"/>
      <c r="I368" s="135"/>
      <c r="J368" s="148"/>
      <c r="K368" s="132"/>
      <c r="L368" s="16"/>
      <c r="M368" s="149"/>
      <c r="N368" s="137"/>
      <c r="O368" s="118"/>
      <c r="P368" s="131"/>
      <c r="Q368" s="150"/>
    </row>
    <row r="369">
      <c r="A369" s="151"/>
      <c r="B369" s="121"/>
      <c r="C369" s="122"/>
      <c r="D369" s="123"/>
      <c r="E369" s="124"/>
      <c r="F369" s="122"/>
      <c r="G369" s="125"/>
      <c r="H369" s="122"/>
      <c r="I369" s="126"/>
      <c r="J369" s="152"/>
      <c r="K369" s="122"/>
      <c r="L369" s="45"/>
      <c r="M369" s="153"/>
      <c r="N369" s="128"/>
      <c r="O369" s="129"/>
      <c r="P369" s="121"/>
      <c r="Q369" s="154"/>
    </row>
    <row r="370">
      <c r="A370" s="147"/>
      <c r="B370" s="131"/>
      <c r="C370" s="132"/>
      <c r="D370" s="119"/>
      <c r="E370" s="133"/>
      <c r="F370" s="132"/>
      <c r="G370" s="134"/>
      <c r="H370" s="132"/>
      <c r="I370" s="135"/>
      <c r="J370" s="148"/>
      <c r="K370" s="132"/>
      <c r="L370" s="16"/>
      <c r="M370" s="149"/>
      <c r="N370" s="137"/>
      <c r="O370" s="118"/>
      <c r="P370" s="131"/>
      <c r="Q370" s="150"/>
    </row>
    <row r="371">
      <c r="A371" s="151"/>
      <c r="B371" s="121"/>
      <c r="C371" s="122"/>
      <c r="D371" s="123"/>
      <c r="E371" s="124"/>
      <c r="F371" s="122"/>
      <c r="G371" s="125"/>
      <c r="H371" s="122"/>
      <c r="I371" s="126"/>
      <c r="J371" s="152"/>
      <c r="K371" s="122"/>
      <c r="L371" s="45"/>
      <c r="M371" s="153"/>
      <c r="N371" s="128"/>
      <c r="O371" s="129"/>
      <c r="P371" s="121"/>
      <c r="Q371" s="154"/>
    </row>
    <row r="372">
      <c r="A372" s="147"/>
      <c r="B372" s="131"/>
      <c r="C372" s="132"/>
      <c r="D372" s="119"/>
      <c r="E372" s="133"/>
      <c r="F372" s="132"/>
      <c r="G372" s="134"/>
      <c r="H372" s="132"/>
      <c r="I372" s="135"/>
      <c r="J372" s="148"/>
      <c r="K372" s="132"/>
      <c r="L372" s="16"/>
      <c r="M372" s="149"/>
      <c r="N372" s="137"/>
      <c r="O372" s="118"/>
      <c r="P372" s="131"/>
      <c r="Q372" s="150"/>
    </row>
    <row r="373">
      <c r="A373" s="151"/>
      <c r="B373" s="121"/>
      <c r="C373" s="122"/>
      <c r="D373" s="123"/>
      <c r="E373" s="124"/>
      <c r="F373" s="122"/>
      <c r="G373" s="125"/>
      <c r="H373" s="122"/>
      <c r="I373" s="126"/>
      <c r="J373" s="152"/>
      <c r="K373" s="122"/>
      <c r="L373" s="45"/>
      <c r="M373" s="153"/>
      <c r="N373" s="128"/>
      <c r="O373" s="129"/>
      <c r="P373" s="121"/>
      <c r="Q373" s="154"/>
    </row>
    <row r="374">
      <c r="A374" s="147"/>
      <c r="B374" s="131"/>
      <c r="C374" s="132"/>
      <c r="D374" s="119"/>
      <c r="E374" s="133"/>
      <c r="F374" s="132"/>
      <c r="G374" s="134"/>
      <c r="H374" s="132"/>
      <c r="I374" s="135"/>
      <c r="J374" s="148"/>
      <c r="K374" s="132"/>
      <c r="L374" s="16"/>
      <c r="M374" s="149"/>
      <c r="N374" s="137"/>
      <c r="O374" s="118"/>
      <c r="P374" s="131"/>
      <c r="Q374" s="150"/>
    </row>
    <row r="375">
      <c r="A375" s="151"/>
      <c r="B375" s="121"/>
      <c r="C375" s="122"/>
      <c r="D375" s="123"/>
      <c r="E375" s="124"/>
      <c r="F375" s="122"/>
      <c r="G375" s="125"/>
      <c r="H375" s="122"/>
      <c r="I375" s="126"/>
      <c r="J375" s="152"/>
      <c r="K375" s="122"/>
      <c r="L375" s="45"/>
      <c r="M375" s="153"/>
      <c r="N375" s="128"/>
      <c r="O375" s="129"/>
      <c r="P375" s="121"/>
      <c r="Q375" s="154"/>
    </row>
    <row r="376">
      <c r="A376" s="147"/>
      <c r="B376" s="131"/>
      <c r="C376" s="132"/>
      <c r="D376" s="119"/>
      <c r="E376" s="133"/>
      <c r="F376" s="132"/>
      <c r="G376" s="134"/>
      <c r="H376" s="132"/>
      <c r="I376" s="135"/>
      <c r="J376" s="148"/>
      <c r="K376" s="132"/>
      <c r="L376" s="16"/>
      <c r="M376" s="149"/>
      <c r="N376" s="137"/>
      <c r="O376" s="118"/>
      <c r="P376" s="131"/>
      <c r="Q376" s="150"/>
    </row>
    <row r="377">
      <c r="A377" s="151"/>
      <c r="B377" s="121"/>
      <c r="C377" s="122"/>
      <c r="D377" s="123"/>
      <c r="E377" s="124"/>
      <c r="F377" s="122"/>
      <c r="G377" s="125"/>
      <c r="H377" s="122"/>
      <c r="I377" s="126"/>
      <c r="J377" s="152"/>
      <c r="K377" s="122"/>
      <c r="L377" s="45"/>
      <c r="M377" s="153"/>
      <c r="N377" s="128"/>
      <c r="O377" s="129"/>
      <c r="P377" s="121"/>
      <c r="Q377" s="154"/>
    </row>
    <row r="378">
      <c r="A378" s="147"/>
      <c r="B378" s="131"/>
      <c r="C378" s="132"/>
      <c r="D378" s="119"/>
      <c r="E378" s="133"/>
      <c r="F378" s="132"/>
      <c r="G378" s="134"/>
      <c r="H378" s="132"/>
      <c r="I378" s="135"/>
      <c r="J378" s="148"/>
      <c r="K378" s="132"/>
      <c r="L378" s="16"/>
      <c r="M378" s="149"/>
      <c r="N378" s="137"/>
      <c r="O378" s="118"/>
      <c r="P378" s="131"/>
      <c r="Q378" s="150"/>
    </row>
    <row r="379">
      <c r="A379" s="151"/>
      <c r="B379" s="121"/>
      <c r="C379" s="122"/>
      <c r="D379" s="123"/>
      <c r="E379" s="124"/>
      <c r="F379" s="122"/>
      <c r="G379" s="125"/>
      <c r="H379" s="122"/>
      <c r="I379" s="126"/>
      <c r="J379" s="152"/>
      <c r="K379" s="122"/>
      <c r="L379" s="45"/>
      <c r="M379" s="153"/>
      <c r="N379" s="128"/>
      <c r="O379" s="129"/>
      <c r="P379" s="121"/>
      <c r="Q379" s="154"/>
    </row>
    <row r="380">
      <c r="A380" s="147"/>
      <c r="B380" s="131"/>
      <c r="C380" s="132"/>
      <c r="D380" s="119"/>
      <c r="E380" s="133"/>
      <c r="F380" s="132"/>
      <c r="G380" s="134"/>
      <c r="H380" s="132"/>
      <c r="I380" s="135"/>
      <c r="J380" s="148"/>
      <c r="K380" s="132"/>
      <c r="L380" s="16"/>
      <c r="M380" s="149"/>
      <c r="N380" s="137"/>
      <c r="O380" s="118"/>
      <c r="P380" s="131"/>
      <c r="Q380" s="150"/>
    </row>
    <row r="381">
      <c r="A381" s="151"/>
      <c r="B381" s="121"/>
      <c r="C381" s="122"/>
      <c r="D381" s="123"/>
      <c r="E381" s="124"/>
      <c r="F381" s="122"/>
      <c r="G381" s="125"/>
      <c r="H381" s="122"/>
      <c r="I381" s="126"/>
      <c r="J381" s="152"/>
      <c r="K381" s="122"/>
      <c r="L381" s="45"/>
      <c r="M381" s="153"/>
      <c r="N381" s="128"/>
      <c r="O381" s="129"/>
      <c r="P381" s="121"/>
      <c r="Q381" s="154"/>
    </row>
    <row r="382">
      <c r="A382" s="147"/>
      <c r="B382" s="131"/>
      <c r="C382" s="132"/>
      <c r="D382" s="119"/>
      <c r="E382" s="133"/>
      <c r="F382" s="132"/>
      <c r="G382" s="134"/>
      <c r="H382" s="132"/>
      <c r="I382" s="135"/>
      <c r="J382" s="148"/>
      <c r="K382" s="132"/>
      <c r="L382" s="16"/>
      <c r="M382" s="149"/>
      <c r="N382" s="137"/>
      <c r="O382" s="118"/>
      <c r="P382" s="131"/>
      <c r="Q382" s="150"/>
    </row>
    <row r="383">
      <c r="A383" s="151"/>
      <c r="B383" s="121"/>
      <c r="C383" s="122"/>
      <c r="D383" s="123"/>
      <c r="E383" s="124"/>
      <c r="F383" s="122"/>
      <c r="G383" s="125"/>
      <c r="H383" s="122"/>
      <c r="I383" s="126"/>
      <c r="J383" s="152"/>
      <c r="K383" s="122"/>
      <c r="L383" s="45"/>
      <c r="M383" s="153"/>
      <c r="N383" s="128"/>
      <c r="O383" s="129"/>
      <c r="P383" s="121"/>
      <c r="Q383" s="154"/>
    </row>
    <row r="384">
      <c r="A384" s="147"/>
      <c r="B384" s="131"/>
      <c r="C384" s="132"/>
      <c r="D384" s="119"/>
      <c r="E384" s="133"/>
      <c r="F384" s="132"/>
      <c r="G384" s="134"/>
      <c r="H384" s="132"/>
      <c r="I384" s="135"/>
      <c r="J384" s="148"/>
      <c r="K384" s="132"/>
      <c r="L384" s="16"/>
      <c r="M384" s="149"/>
      <c r="N384" s="137"/>
      <c r="O384" s="118"/>
      <c r="P384" s="131"/>
      <c r="Q384" s="150"/>
    </row>
    <row r="385">
      <c r="A385" s="151"/>
      <c r="B385" s="121"/>
      <c r="C385" s="122"/>
      <c r="D385" s="123"/>
      <c r="E385" s="124"/>
      <c r="F385" s="122"/>
      <c r="G385" s="125"/>
      <c r="H385" s="122"/>
      <c r="I385" s="126"/>
      <c r="J385" s="152"/>
      <c r="K385" s="122"/>
      <c r="L385" s="45"/>
      <c r="M385" s="153"/>
      <c r="N385" s="128"/>
      <c r="O385" s="129"/>
      <c r="P385" s="121"/>
      <c r="Q385" s="154"/>
    </row>
    <row r="386">
      <c r="A386" s="147"/>
      <c r="B386" s="131"/>
      <c r="C386" s="132"/>
      <c r="D386" s="119"/>
      <c r="E386" s="133"/>
      <c r="F386" s="132"/>
      <c r="G386" s="134"/>
      <c r="H386" s="132"/>
      <c r="I386" s="135"/>
      <c r="J386" s="148"/>
      <c r="K386" s="132"/>
      <c r="L386" s="16"/>
      <c r="M386" s="149"/>
      <c r="N386" s="137"/>
      <c r="O386" s="118"/>
      <c r="P386" s="131"/>
      <c r="Q386" s="150"/>
    </row>
    <row r="387">
      <c r="A387" s="151"/>
      <c r="B387" s="121"/>
      <c r="C387" s="122"/>
      <c r="D387" s="123"/>
      <c r="E387" s="124"/>
      <c r="F387" s="122"/>
      <c r="G387" s="125"/>
      <c r="H387" s="122"/>
      <c r="I387" s="126"/>
      <c r="J387" s="152"/>
      <c r="K387" s="122"/>
      <c r="L387" s="45"/>
      <c r="M387" s="153"/>
      <c r="N387" s="128"/>
      <c r="O387" s="129"/>
      <c r="P387" s="121"/>
      <c r="Q387" s="154"/>
    </row>
    <row r="388">
      <c r="A388" s="147"/>
      <c r="B388" s="131"/>
      <c r="C388" s="132"/>
      <c r="D388" s="119"/>
      <c r="E388" s="133"/>
      <c r="F388" s="132"/>
      <c r="G388" s="134"/>
      <c r="H388" s="132"/>
      <c r="I388" s="135"/>
      <c r="J388" s="148"/>
      <c r="K388" s="132"/>
      <c r="L388" s="16"/>
      <c r="M388" s="149"/>
      <c r="N388" s="137"/>
      <c r="O388" s="118"/>
      <c r="P388" s="131"/>
      <c r="Q388" s="150"/>
    </row>
    <row r="389">
      <c r="A389" s="151"/>
      <c r="B389" s="121"/>
      <c r="C389" s="122"/>
      <c r="D389" s="123"/>
      <c r="E389" s="124"/>
      <c r="F389" s="122"/>
      <c r="G389" s="125"/>
      <c r="H389" s="122"/>
      <c r="I389" s="126"/>
      <c r="J389" s="152"/>
      <c r="K389" s="122"/>
      <c r="L389" s="45"/>
      <c r="M389" s="153"/>
      <c r="N389" s="128"/>
      <c r="O389" s="129"/>
      <c r="P389" s="121"/>
      <c r="Q389" s="154"/>
    </row>
    <row r="390">
      <c r="A390" s="147"/>
      <c r="B390" s="131"/>
      <c r="C390" s="132"/>
      <c r="D390" s="119"/>
      <c r="E390" s="133"/>
      <c r="F390" s="132"/>
      <c r="G390" s="134"/>
      <c r="H390" s="132"/>
      <c r="I390" s="135"/>
      <c r="J390" s="148"/>
      <c r="K390" s="132"/>
      <c r="L390" s="16"/>
      <c r="M390" s="149"/>
      <c r="N390" s="137"/>
      <c r="O390" s="118"/>
      <c r="P390" s="131"/>
      <c r="Q390" s="150"/>
    </row>
    <row r="391">
      <c r="A391" s="151"/>
      <c r="B391" s="121"/>
      <c r="C391" s="122"/>
      <c r="D391" s="123"/>
      <c r="E391" s="124"/>
      <c r="F391" s="122"/>
      <c r="G391" s="125"/>
      <c r="H391" s="122"/>
      <c r="I391" s="126"/>
      <c r="J391" s="152"/>
      <c r="K391" s="122"/>
      <c r="L391" s="45"/>
      <c r="M391" s="153"/>
      <c r="N391" s="128"/>
      <c r="O391" s="129"/>
      <c r="P391" s="121"/>
      <c r="Q391" s="154"/>
    </row>
    <row r="392">
      <c r="A392" s="147"/>
      <c r="B392" s="131"/>
      <c r="C392" s="132"/>
      <c r="D392" s="119"/>
      <c r="E392" s="133"/>
      <c r="F392" s="132"/>
      <c r="G392" s="134"/>
      <c r="H392" s="132"/>
      <c r="I392" s="135"/>
      <c r="J392" s="148"/>
      <c r="K392" s="132"/>
      <c r="L392" s="16"/>
      <c r="M392" s="149"/>
      <c r="N392" s="137"/>
      <c r="O392" s="118"/>
      <c r="P392" s="131"/>
      <c r="Q392" s="150"/>
    </row>
    <row r="393">
      <c r="A393" s="151"/>
      <c r="B393" s="121"/>
      <c r="C393" s="122"/>
      <c r="D393" s="123"/>
      <c r="E393" s="124"/>
      <c r="F393" s="122"/>
      <c r="G393" s="125"/>
      <c r="H393" s="122"/>
      <c r="I393" s="126"/>
      <c r="J393" s="152"/>
      <c r="K393" s="122"/>
      <c r="L393" s="45"/>
      <c r="M393" s="153"/>
      <c r="N393" s="128"/>
      <c r="O393" s="129"/>
      <c r="P393" s="121"/>
      <c r="Q393" s="154"/>
    </row>
    <row r="394">
      <c r="A394" s="147"/>
      <c r="B394" s="131"/>
      <c r="C394" s="132"/>
      <c r="D394" s="119"/>
      <c r="E394" s="133"/>
      <c r="F394" s="132"/>
      <c r="G394" s="134"/>
      <c r="H394" s="132"/>
      <c r="I394" s="135"/>
      <c r="J394" s="148"/>
      <c r="K394" s="132"/>
      <c r="L394" s="16"/>
      <c r="M394" s="149"/>
      <c r="N394" s="137"/>
      <c r="O394" s="118"/>
      <c r="P394" s="131"/>
      <c r="Q394" s="150"/>
    </row>
    <row r="395">
      <c r="A395" s="151"/>
      <c r="B395" s="121"/>
      <c r="C395" s="122"/>
      <c r="D395" s="123"/>
      <c r="E395" s="124"/>
      <c r="F395" s="122"/>
      <c r="G395" s="125"/>
      <c r="H395" s="122"/>
      <c r="I395" s="126"/>
      <c r="J395" s="152"/>
      <c r="K395" s="122"/>
      <c r="L395" s="45"/>
      <c r="M395" s="153"/>
      <c r="N395" s="128"/>
      <c r="O395" s="129"/>
      <c r="P395" s="121"/>
      <c r="Q395" s="154"/>
    </row>
    <row r="396">
      <c r="A396" s="147"/>
      <c r="B396" s="131"/>
      <c r="C396" s="132"/>
      <c r="D396" s="119"/>
      <c r="E396" s="133"/>
      <c r="F396" s="132"/>
      <c r="G396" s="134"/>
      <c r="H396" s="132"/>
      <c r="I396" s="135"/>
      <c r="J396" s="148"/>
      <c r="K396" s="132"/>
      <c r="L396" s="16"/>
      <c r="M396" s="149"/>
      <c r="N396" s="137"/>
      <c r="O396" s="118"/>
      <c r="P396" s="131"/>
      <c r="Q396" s="150"/>
    </row>
    <row r="397">
      <c r="A397" s="151"/>
      <c r="B397" s="121"/>
      <c r="C397" s="122"/>
      <c r="D397" s="123"/>
      <c r="E397" s="124"/>
      <c r="F397" s="122"/>
      <c r="G397" s="125"/>
      <c r="H397" s="122"/>
      <c r="I397" s="126"/>
      <c r="J397" s="152"/>
      <c r="K397" s="122"/>
      <c r="L397" s="45"/>
      <c r="M397" s="153"/>
      <c r="N397" s="128"/>
      <c r="O397" s="129"/>
      <c r="P397" s="121"/>
      <c r="Q397" s="154"/>
    </row>
    <row r="398">
      <c r="A398" s="147"/>
      <c r="B398" s="131"/>
      <c r="C398" s="132"/>
      <c r="D398" s="119"/>
      <c r="E398" s="133"/>
      <c r="F398" s="132"/>
      <c r="G398" s="134"/>
      <c r="H398" s="132"/>
      <c r="I398" s="135"/>
      <c r="J398" s="148"/>
      <c r="K398" s="132"/>
      <c r="L398" s="16"/>
      <c r="M398" s="149"/>
      <c r="N398" s="137"/>
      <c r="O398" s="118"/>
      <c r="P398" s="131"/>
      <c r="Q398" s="150"/>
    </row>
    <row r="399">
      <c r="A399" s="151"/>
      <c r="B399" s="121"/>
      <c r="C399" s="122"/>
      <c r="D399" s="123"/>
      <c r="E399" s="124"/>
      <c r="F399" s="122"/>
      <c r="G399" s="125"/>
      <c r="H399" s="122"/>
      <c r="I399" s="126"/>
      <c r="J399" s="152"/>
      <c r="K399" s="122"/>
      <c r="L399" s="45"/>
      <c r="M399" s="153"/>
      <c r="N399" s="128"/>
      <c r="O399" s="129"/>
      <c r="P399" s="121"/>
      <c r="Q399" s="154"/>
    </row>
    <row r="400">
      <c r="A400" s="147"/>
      <c r="B400" s="131"/>
      <c r="C400" s="132"/>
      <c r="D400" s="119"/>
      <c r="E400" s="133"/>
      <c r="F400" s="132"/>
      <c r="G400" s="134"/>
      <c r="H400" s="132"/>
      <c r="I400" s="135"/>
      <c r="J400" s="148"/>
      <c r="K400" s="132"/>
      <c r="L400" s="16"/>
      <c r="M400" s="149"/>
      <c r="N400" s="137"/>
      <c r="O400" s="118"/>
      <c r="P400" s="131"/>
      <c r="Q400" s="150"/>
    </row>
    <row r="401">
      <c r="A401" s="151"/>
      <c r="B401" s="121"/>
      <c r="C401" s="122"/>
      <c r="D401" s="123"/>
      <c r="E401" s="124"/>
      <c r="F401" s="122"/>
      <c r="G401" s="125"/>
      <c r="H401" s="122"/>
      <c r="I401" s="126"/>
      <c r="J401" s="152"/>
      <c r="K401" s="122"/>
      <c r="L401" s="45"/>
      <c r="M401" s="153"/>
      <c r="N401" s="128"/>
      <c r="O401" s="129"/>
      <c r="P401" s="121"/>
      <c r="Q401" s="154"/>
    </row>
    <row r="402">
      <c r="A402" s="147"/>
      <c r="B402" s="131"/>
      <c r="C402" s="132"/>
      <c r="D402" s="119"/>
      <c r="E402" s="133"/>
      <c r="F402" s="132"/>
      <c r="G402" s="134"/>
      <c r="H402" s="132"/>
      <c r="I402" s="135"/>
      <c r="J402" s="148"/>
      <c r="K402" s="132"/>
      <c r="L402" s="16"/>
      <c r="M402" s="149"/>
      <c r="N402" s="137"/>
      <c r="O402" s="118"/>
      <c r="P402" s="131"/>
      <c r="Q402" s="150"/>
    </row>
    <row r="403">
      <c r="A403" s="151"/>
      <c r="B403" s="121"/>
      <c r="C403" s="122"/>
      <c r="D403" s="123"/>
      <c r="E403" s="124"/>
      <c r="F403" s="122"/>
      <c r="G403" s="125"/>
      <c r="H403" s="122"/>
      <c r="I403" s="126"/>
      <c r="J403" s="152"/>
      <c r="K403" s="122"/>
      <c r="L403" s="45"/>
      <c r="M403" s="153"/>
      <c r="N403" s="128"/>
      <c r="O403" s="129"/>
      <c r="P403" s="121"/>
      <c r="Q403" s="154"/>
    </row>
    <row r="404">
      <c r="A404" s="147"/>
      <c r="B404" s="131"/>
      <c r="C404" s="132"/>
      <c r="D404" s="119"/>
      <c r="E404" s="133"/>
      <c r="F404" s="132"/>
      <c r="G404" s="134"/>
      <c r="H404" s="132"/>
      <c r="I404" s="135"/>
      <c r="J404" s="148"/>
      <c r="K404" s="132"/>
      <c r="L404" s="16"/>
      <c r="M404" s="149"/>
      <c r="N404" s="137"/>
      <c r="O404" s="118"/>
      <c r="P404" s="131"/>
      <c r="Q404" s="150"/>
    </row>
    <row r="405">
      <c r="A405" s="151"/>
      <c r="B405" s="121"/>
      <c r="C405" s="122"/>
      <c r="D405" s="123"/>
      <c r="E405" s="124"/>
      <c r="F405" s="122"/>
      <c r="G405" s="125"/>
      <c r="H405" s="122"/>
      <c r="I405" s="126"/>
      <c r="J405" s="152"/>
      <c r="K405" s="122"/>
      <c r="L405" s="45"/>
      <c r="M405" s="153"/>
      <c r="N405" s="128"/>
      <c r="O405" s="129"/>
      <c r="P405" s="121"/>
      <c r="Q405" s="154"/>
    </row>
    <row r="406">
      <c r="A406" s="147"/>
      <c r="B406" s="131"/>
      <c r="C406" s="132"/>
      <c r="D406" s="119"/>
      <c r="E406" s="133"/>
      <c r="F406" s="132"/>
      <c r="G406" s="134"/>
      <c r="H406" s="132"/>
      <c r="I406" s="135"/>
      <c r="J406" s="148"/>
      <c r="K406" s="132"/>
      <c r="L406" s="16"/>
      <c r="M406" s="149"/>
      <c r="N406" s="137"/>
      <c r="O406" s="118"/>
      <c r="P406" s="131"/>
      <c r="Q406" s="150"/>
    </row>
    <row r="407">
      <c r="A407" s="151"/>
      <c r="B407" s="121"/>
      <c r="C407" s="122"/>
      <c r="D407" s="123"/>
      <c r="E407" s="124"/>
      <c r="F407" s="122"/>
      <c r="G407" s="125"/>
      <c r="H407" s="122"/>
      <c r="I407" s="126"/>
      <c r="J407" s="152"/>
      <c r="K407" s="122"/>
      <c r="L407" s="45"/>
      <c r="M407" s="153"/>
      <c r="N407" s="128"/>
      <c r="O407" s="129"/>
      <c r="P407" s="121"/>
      <c r="Q407" s="154"/>
    </row>
    <row r="408">
      <c r="A408" s="147"/>
      <c r="B408" s="131"/>
      <c r="C408" s="132"/>
      <c r="D408" s="119"/>
      <c r="E408" s="133"/>
      <c r="F408" s="132"/>
      <c r="G408" s="134"/>
      <c r="H408" s="132"/>
      <c r="I408" s="135"/>
      <c r="J408" s="148"/>
      <c r="K408" s="132"/>
      <c r="L408" s="16"/>
      <c r="M408" s="149"/>
      <c r="N408" s="137"/>
      <c r="O408" s="118"/>
      <c r="P408" s="131"/>
      <c r="Q408" s="150"/>
    </row>
    <row r="409">
      <c r="A409" s="151"/>
      <c r="B409" s="121"/>
      <c r="C409" s="122"/>
      <c r="D409" s="123"/>
      <c r="E409" s="124"/>
      <c r="F409" s="122"/>
      <c r="G409" s="125"/>
      <c r="H409" s="122"/>
      <c r="I409" s="126"/>
      <c r="J409" s="152"/>
      <c r="K409" s="122"/>
      <c r="L409" s="45"/>
      <c r="M409" s="153"/>
      <c r="N409" s="128"/>
      <c r="O409" s="129"/>
      <c r="P409" s="121"/>
      <c r="Q409" s="154"/>
    </row>
    <row r="410">
      <c r="A410" s="147"/>
      <c r="B410" s="131"/>
      <c r="C410" s="132"/>
      <c r="D410" s="119"/>
      <c r="E410" s="133"/>
      <c r="F410" s="132"/>
      <c r="G410" s="134"/>
      <c r="H410" s="132"/>
      <c r="I410" s="135"/>
      <c r="J410" s="148"/>
      <c r="K410" s="132"/>
      <c r="L410" s="16"/>
      <c r="M410" s="149"/>
      <c r="N410" s="137"/>
      <c r="O410" s="118"/>
      <c r="P410" s="131"/>
      <c r="Q410" s="150"/>
    </row>
    <row r="411">
      <c r="A411" s="151"/>
      <c r="B411" s="121"/>
      <c r="C411" s="122"/>
      <c r="D411" s="123"/>
      <c r="E411" s="124"/>
      <c r="F411" s="122"/>
      <c r="G411" s="125"/>
      <c r="H411" s="122"/>
      <c r="I411" s="126"/>
      <c r="J411" s="152"/>
      <c r="K411" s="122"/>
      <c r="L411" s="45"/>
      <c r="M411" s="153"/>
      <c r="N411" s="128"/>
      <c r="O411" s="129"/>
      <c r="P411" s="121"/>
      <c r="Q411" s="154"/>
    </row>
    <row r="412">
      <c r="A412" s="147"/>
      <c r="B412" s="131"/>
      <c r="C412" s="132"/>
      <c r="D412" s="119"/>
      <c r="E412" s="133"/>
      <c r="F412" s="132"/>
      <c r="G412" s="134"/>
      <c r="H412" s="132"/>
      <c r="I412" s="135"/>
      <c r="J412" s="148"/>
      <c r="K412" s="132"/>
      <c r="L412" s="16"/>
      <c r="M412" s="149"/>
      <c r="N412" s="137"/>
      <c r="O412" s="118"/>
      <c r="P412" s="131"/>
      <c r="Q412" s="150"/>
    </row>
    <row r="413">
      <c r="A413" s="151"/>
      <c r="B413" s="121"/>
      <c r="C413" s="122"/>
      <c r="D413" s="123"/>
      <c r="E413" s="124"/>
      <c r="F413" s="122"/>
      <c r="G413" s="125"/>
      <c r="H413" s="122"/>
      <c r="I413" s="126"/>
      <c r="J413" s="152"/>
      <c r="K413" s="122"/>
      <c r="L413" s="45"/>
      <c r="M413" s="153"/>
      <c r="N413" s="128"/>
      <c r="O413" s="129"/>
      <c r="P413" s="121"/>
      <c r="Q413" s="154"/>
    </row>
    <row r="414">
      <c r="A414" s="147"/>
      <c r="B414" s="131"/>
      <c r="C414" s="132"/>
      <c r="D414" s="119"/>
      <c r="E414" s="133"/>
      <c r="F414" s="132"/>
      <c r="G414" s="134"/>
      <c r="H414" s="132"/>
      <c r="I414" s="135"/>
      <c r="J414" s="148"/>
      <c r="K414" s="132"/>
      <c r="L414" s="16"/>
      <c r="M414" s="149"/>
      <c r="N414" s="137"/>
      <c r="O414" s="118"/>
      <c r="P414" s="131"/>
      <c r="Q414" s="150"/>
    </row>
    <row r="415">
      <c r="A415" s="151"/>
      <c r="B415" s="121"/>
      <c r="C415" s="122"/>
      <c r="D415" s="123"/>
      <c r="E415" s="124"/>
      <c r="F415" s="122"/>
      <c r="G415" s="125"/>
      <c r="H415" s="122"/>
      <c r="I415" s="126"/>
      <c r="J415" s="152"/>
      <c r="K415" s="122"/>
      <c r="L415" s="45"/>
      <c r="M415" s="153"/>
      <c r="N415" s="128"/>
      <c r="O415" s="129"/>
      <c r="P415" s="121"/>
      <c r="Q415" s="154"/>
    </row>
    <row r="416">
      <c r="A416" s="147"/>
      <c r="B416" s="131"/>
      <c r="C416" s="132"/>
      <c r="D416" s="119"/>
      <c r="E416" s="133"/>
      <c r="F416" s="132"/>
      <c r="G416" s="134"/>
      <c r="H416" s="132"/>
      <c r="I416" s="135"/>
      <c r="J416" s="148"/>
      <c r="K416" s="132"/>
      <c r="L416" s="16"/>
      <c r="M416" s="149"/>
      <c r="N416" s="137"/>
      <c r="O416" s="118"/>
      <c r="P416" s="131"/>
      <c r="Q416" s="150"/>
    </row>
    <row r="417">
      <c r="A417" s="151"/>
      <c r="B417" s="121"/>
      <c r="C417" s="122"/>
      <c r="D417" s="123"/>
      <c r="E417" s="124"/>
      <c r="F417" s="122"/>
      <c r="G417" s="125"/>
      <c r="H417" s="122"/>
      <c r="I417" s="126"/>
      <c r="J417" s="152"/>
      <c r="K417" s="122"/>
      <c r="L417" s="45"/>
      <c r="M417" s="153"/>
      <c r="N417" s="128"/>
      <c r="O417" s="129"/>
      <c r="P417" s="121"/>
      <c r="Q417" s="154"/>
    </row>
    <row r="418">
      <c r="A418" s="147"/>
      <c r="B418" s="131"/>
      <c r="C418" s="132"/>
      <c r="D418" s="119"/>
      <c r="E418" s="133"/>
      <c r="F418" s="132"/>
      <c r="G418" s="134"/>
      <c r="H418" s="132"/>
      <c r="I418" s="135"/>
      <c r="J418" s="148"/>
      <c r="K418" s="132"/>
      <c r="L418" s="16"/>
      <c r="M418" s="149"/>
      <c r="N418" s="137"/>
      <c r="O418" s="118"/>
      <c r="P418" s="131"/>
      <c r="Q418" s="150"/>
    </row>
    <row r="419">
      <c r="A419" s="151"/>
      <c r="B419" s="121"/>
      <c r="C419" s="122"/>
      <c r="D419" s="123"/>
      <c r="E419" s="124"/>
      <c r="F419" s="122"/>
      <c r="G419" s="125"/>
      <c r="H419" s="122"/>
      <c r="I419" s="126"/>
      <c r="J419" s="152"/>
      <c r="K419" s="122"/>
      <c r="L419" s="45"/>
      <c r="M419" s="153"/>
      <c r="N419" s="128"/>
      <c r="O419" s="129"/>
      <c r="P419" s="121"/>
      <c r="Q419" s="154"/>
    </row>
    <row r="420">
      <c r="A420" s="147"/>
      <c r="B420" s="131"/>
      <c r="C420" s="132"/>
      <c r="D420" s="119"/>
      <c r="E420" s="133"/>
      <c r="F420" s="132"/>
      <c r="G420" s="134"/>
      <c r="H420" s="132"/>
      <c r="I420" s="135"/>
      <c r="J420" s="148"/>
      <c r="K420" s="132"/>
      <c r="L420" s="16"/>
      <c r="M420" s="149"/>
      <c r="N420" s="137"/>
      <c r="O420" s="118"/>
      <c r="P420" s="131"/>
      <c r="Q420" s="150"/>
    </row>
    <row r="421">
      <c r="A421" s="151"/>
      <c r="B421" s="121"/>
      <c r="C421" s="122"/>
      <c r="D421" s="123"/>
      <c r="E421" s="124"/>
      <c r="F421" s="122"/>
      <c r="G421" s="125"/>
      <c r="H421" s="122"/>
      <c r="I421" s="126"/>
      <c r="J421" s="152"/>
      <c r="K421" s="122"/>
      <c r="L421" s="45"/>
      <c r="M421" s="153"/>
      <c r="N421" s="128"/>
      <c r="O421" s="129"/>
      <c r="P421" s="121"/>
      <c r="Q421" s="154"/>
    </row>
    <row r="422">
      <c r="A422" s="147"/>
      <c r="B422" s="131"/>
      <c r="C422" s="132"/>
      <c r="D422" s="119"/>
      <c r="E422" s="133"/>
      <c r="F422" s="132"/>
      <c r="G422" s="134"/>
      <c r="H422" s="132"/>
      <c r="I422" s="135"/>
      <c r="J422" s="148"/>
      <c r="K422" s="132"/>
      <c r="L422" s="16"/>
      <c r="M422" s="149"/>
      <c r="N422" s="137"/>
      <c r="O422" s="118"/>
      <c r="P422" s="131"/>
      <c r="Q422" s="150"/>
    </row>
    <row r="423">
      <c r="A423" s="151"/>
      <c r="B423" s="121"/>
      <c r="C423" s="122"/>
      <c r="D423" s="123"/>
      <c r="E423" s="124"/>
      <c r="F423" s="122"/>
      <c r="G423" s="125"/>
      <c r="H423" s="122"/>
      <c r="I423" s="126"/>
      <c r="J423" s="152"/>
      <c r="K423" s="122"/>
      <c r="L423" s="45"/>
      <c r="M423" s="153"/>
      <c r="N423" s="128"/>
      <c r="O423" s="129"/>
      <c r="P423" s="121"/>
      <c r="Q423" s="154"/>
    </row>
    <row r="424">
      <c r="A424" s="147"/>
      <c r="B424" s="131"/>
      <c r="C424" s="132"/>
      <c r="D424" s="119"/>
      <c r="E424" s="133"/>
      <c r="F424" s="132"/>
      <c r="G424" s="134"/>
      <c r="H424" s="132"/>
      <c r="I424" s="135"/>
      <c r="J424" s="148"/>
      <c r="K424" s="132"/>
      <c r="L424" s="16"/>
      <c r="M424" s="149"/>
      <c r="N424" s="137"/>
      <c r="O424" s="118"/>
      <c r="P424" s="131"/>
      <c r="Q424" s="150"/>
    </row>
    <row r="425">
      <c r="A425" s="151"/>
      <c r="B425" s="121"/>
      <c r="C425" s="122"/>
      <c r="D425" s="123"/>
      <c r="E425" s="124"/>
      <c r="F425" s="122"/>
      <c r="G425" s="125"/>
      <c r="H425" s="122"/>
      <c r="I425" s="126"/>
      <c r="J425" s="152"/>
      <c r="K425" s="122"/>
      <c r="L425" s="45"/>
      <c r="M425" s="153"/>
      <c r="N425" s="128"/>
      <c r="O425" s="129"/>
      <c r="P425" s="121"/>
      <c r="Q425" s="154"/>
    </row>
    <row r="426">
      <c r="A426" s="147"/>
      <c r="B426" s="131"/>
      <c r="C426" s="132"/>
      <c r="D426" s="119"/>
      <c r="E426" s="133"/>
      <c r="F426" s="132"/>
      <c r="G426" s="134"/>
      <c r="H426" s="132"/>
      <c r="I426" s="135"/>
      <c r="J426" s="148"/>
      <c r="K426" s="132"/>
      <c r="L426" s="16"/>
      <c r="M426" s="149"/>
      <c r="N426" s="137"/>
      <c r="O426" s="118"/>
      <c r="P426" s="131"/>
      <c r="Q426" s="150"/>
    </row>
    <row r="427">
      <c r="A427" s="151"/>
      <c r="B427" s="121"/>
      <c r="C427" s="122"/>
      <c r="D427" s="123"/>
      <c r="E427" s="124"/>
      <c r="F427" s="122"/>
      <c r="G427" s="125"/>
      <c r="H427" s="122"/>
      <c r="I427" s="126"/>
      <c r="J427" s="152"/>
      <c r="K427" s="122"/>
      <c r="L427" s="45"/>
      <c r="M427" s="153"/>
      <c r="N427" s="128"/>
      <c r="O427" s="129"/>
      <c r="P427" s="121"/>
      <c r="Q427" s="154"/>
    </row>
    <row r="428">
      <c r="A428" s="147"/>
      <c r="B428" s="131"/>
      <c r="C428" s="132"/>
      <c r="D428" s="119"/>
      <c r="E428" s="133"/>
      <c r="F428" s="132"/>
      <c r="G428" s="134"/>
      <c r="H428" s="132"/>
      <c r="I428" s="135"/>
      <c r="J428" s="148"/>
      <c r="K428" s="132"/>
      <c r="L428" s="16"/>
      <c r="M428" s="149"/>
      <c r="N428" s="137"/>
      <c r="O428" s="118"/>
      <c r="P428" s="131"/>
      <c r="Q428" s="150"/>
    </row>
    <row r="429">
      <c r="A429" s="151"/>
      <c r="B429" s="121"/>
      <c r="C429" s="122"/>
      <c r="D429" s="123"/>
      <c r="E429" s="124"/>
      <c r="F429" s="122"/>
      <c r="G429" s="125"/>
      <c r="H429" s="122"/>
      <c r="I429" s="126"/>
      <c r="J429" s="152"/>
      <c r="K429" s="122"/>
      <c r="L429" s="45"/>
      <c r="M429" s="153"/>
      <c r="N429" s="128"/>
      <c r="O429" s="129"/>
      <c r="P429" s="121"/>
      <c r="Q429" s="154"/>
    </row>
    <row r="430">
      <c r="A430" s="147"/>
      <c r="B430" s="131"/>
      <c r="C430" s="132"/>
      <c r="D430" s="119"/>
      <c r="E430" s="133"/>
      <c r="F430" s="132"/>
      <c r="G430" s="134"/>
      <c r="H430" s="132"/>
      <c r="I430" s="135"/>
      <c r="J430" s="148"/>
      <c r="K430" s="132"/>
      <c r="L430" s="16"/>
      <c r="M430" s="149"/>
      <c r="N430" s="137"/>
      <c r="O430" s="118"/>
      <c r="P430" s="131"/>
      <c r="Q430" s="150"/>
    </row>
    <row r="431">
      <c r="A431" s="151"/>
      <c r="B431" s="121"/>
      <c r="C431" s="122"/>
      <c r="D431" s="123"/>
      <c r="E431" s="124"/>
      <c r="F431" s="122"/>
      <c r="G431" s="125"/>
      <c r="H431" s="122"/>
      <c r="I431" s="126"/>
      <c r="J431" s="152"/>
      <c r="K431" s="122"/>
      <c r="L431" s="45"/>
      <c r="M431" s="153"/>
      <c r="N431" s="128"/>
      <c r="O431" s="129"/>
      <c r="P431" s="121"/>
      <c r="Q431" s="154"/>
    </row>
    <row r="432">
      <c r="A432" s="147"/>
      <c r="B432" s="131"/>
      <c r="C432" s="132"/>
      <c r="D432" s="119"/>
      <c r="E432" s="133"/>
      <c r="F432" s="132"/>
      <c r="G432" s="134"/>
      <c r="H432" s="132"/>
      <c r="I432" s="135"/>
      <c r="J432" s="148"/>
      <c r="K432" s="132"/>
      <c r="L432" s="16"/>
      <c r="M432" s="149"/>
      <c r="N432" s="137"/>
      <c r="O432" s="118"/>
      <c r="P432" s="131"/>
      <c r="Q432" s="150"/>
    </row>
    <row r="433">
      <c r="A433" s="151"/>
      <c r="B433" s="121"/>
      <c r="C433" s="122"/>
      <c r="D433" s="123"/>
      <c r="E433" s="124"/>
      <c r="F433" s="122"/>
      <c r="G433" s="125"/>
      <c r="H433" s="122"/>
      <c r="I433" s="126"/>
      <c r="J433" s="152"/>
      <c r="K433" s="122"/>
      <c r="L433" s="45"/>
      <c r="M433" s="153"/>
      <c r="N433" s="128"/>
      <c r="O433" s="129"/>
      <c r="P433" s="121"/>
      <c r="Q433" s="154"/>
    </row>
    <row r="434">
      <c r="A434" s="147"/>
      <c r="B434" s="131"/>
      <c r="C434" s="132"/>
      <c r="D434" s="119"/>
      <c r="E434" s="133"/>
      <c r="F434" s="132"/>
      <c r="G434" s="134"/>
      <c r="H434" s="132"/>
      <c r="I434" s="135"/>
      <c r="J434" s="148"/>
      <c r="K434" s="132"/>
      <c r="L434" s="16"/>
      <c r="M434" s="149"/>
      <c r="N434" s="137"/>
      <c r="O434" s="118"/>
      <c r="P434" s="131"/>
      <c r="Q434" s="150"/>
    </row>
    <row r="435">
      <c r="A435" s="151"/>
      <c r="B435" s="121"/>
      <c r="C435" s="122"/>
      <c r="D435" s="123"/>
      <c r="E435" s="124"/>
      <c r="F435" s="122"/>
      <c r="G435" s="125"/>
      <c r="H435" s="122"/>
      <c r="I435" s="126"/>
      <c r="J435" s="152"/>
      <c r="K435" s="122"/>
      <c r="L435" s="45"/>
      <c r="M435" s="153"/>
      <c r="N435" s="128"/>
      <c r="O435" s="129"/>
      <c r="P435" s="121"/>
      <c r="Q435" s="154"/>
    </row>
    <row r="436">
      <c r="A436" s="147"/>
      <c r="B436" s="131"/>
      <c r="C436" s="132"/>
      <c r="D436" s="119"/>
      <c r="E436" s="133"/>
      <c r="F436" s="132"/>
      <c r="G436" s="134"/>
      <c r="H436" s="132"/>
      <c r="I436" s="135"/>
      <c r="J436" s="148"/>
      <c r="K436" s="132"/>
      <c r="L436" s="16"/>
      <c r="M436" s="149"/>
      <c r="N436" s="137"/>
      <c r="O436" s="118"/>
      <c r="P436" s="131"/>
      <c r="Q436" s="150"/>
    </row>
    <row r="437">
      <c r="A437" s="151"/>
      <c r="B437" s="121"/>
      <c r="C437" s="122"/>
      <c r="D437" s="123"/>
      <c r="E437" s="124"/>
      <c r="F437" s="122"/>
      <c r="G437" s="125"/>
      <c r="H437" s="122"/>
      <c r="I437" s="126"/>
      <c r="J437" s="152"/>
      <c r="K437" s="122"/>
      <c r="L437" s="45"/>
      <c r="M437" s="153"/>
      <c r="N437" s="128"/>
      <c r="O437" s="129"/>
      <c r="P437" s="121"/>
      <c r="Q437" s="154"/>
    </row>
    <row r="438">
      <c r="A438" s="147"/>
      <c r="B438" s="131"/>
      <c r="C438" s="132"/>
      <c r="D438" s="119"/>
      <c r="E438" s="133"/>
      <c r="F438" s="132"/>
      <c r="G438" s="134"/>
      <c r="H438" s="132"/>
      <c r="I438" s="135"/>
      <c r="J438" s="148"/>
      <c r="K438" s="132"/>
      <c r="L438" s="16"/>
      <c r="M438" s="149"/>
      <c r="N438" s="137"/>
      <c r="O438" s="118"/>
      <c r="P438" s="131"/>
      <c r="Q438" s="150"/>
    </row>
    <row r="439">
      <c r="A439" s="151"/>
      <c r="B439" s="121"/>
      <c r="C439" s="122"/>
      <c r="D439" s="123"/>
      <c r="E439" s="124"/>
      <c r="F439" s="122"/>
      <c r="G439" s="125"/>
      <c r="H439" s="122"/>
      <c r="I439" s="126"/>
      <c r="J439" s="152"/>
      <c r="K439" s="122"/>
      <c r="L439" s="45"/>
      <c r="M439" s="153"/>
      <c r="N439" s="128"/>
      <c r="O439" s="129"/>
      <c r="P439" s="121"/>
      <c r="Q439" s="154"/>
    </row>
    <row r="440">
      <c r="A440" s="147"/>
      <c r="B440" s="131"/>
      <c r="C440" s="132"/>
      <c r="D440" s="119"/>
      <c r="E440" s="133"/>
      <c r="F440" s="132"/>
      <c r="G440" s="134"/>
      <c r="H440" s="132"/>
      <c r="I440" s="135"/>
      <c r="J440" s="148"/>
      <c r="K440" s="132"/>
      <c r="L440" s="16"/>
      <c r="M440" s="149"/>
      <c r="N440" s="137"/>
      <c r="O440" s="118"/>
      <c r="P440" s="131"/>
      <c r="Q440" s="150"/>
    </row>
    <row r="441">
      <c r="A441" s="151"/>
      <c r="B441" s="121"/>
      <c r="C441" s="122"/>
      <c r="D441" s="123"/>
      <c r="E441" s="124"/>
      <c r="F441" s="122"/>
      <c r="G441" s="125"/>
      <c r="H441" s="122"/>
      <c r="I441" s="126"/>
      <c r="J441" s="152"/>
      <c r="K441" s="122"/>
      <c r="L441" s="45"/>
      <c r="M441" s="153"/>
      <c r="N441" s="128"/>
      <c r="O441" s="129"/>
      <c r="P441" s="121"/>
      <c r="Q441" s="154"/>
    </row>
    <row r="442">
      <c r="A442" s="147"/>
      <c r="B442" s="131"/>
      <c r="C442" s="132"/>
      <c r="D442" s="119"/>
      <c r="E442" s="133"/>
      <c r="F442" s="132"/>
      <c r="G442" s="134"/>
      <c r="H442" s="132"/>
      <c r="I442" s="135"/>
      <c r="J442" s="148"/>
      <c r="K442" s="132"/>
      <c r="L442" s="16"/>
      <c r="M442" s="149"/>
      <c r="N442" s="137"/>
      <c r="O442" s="118"/>
      <c r="P442" s="131"/>
      <c r="Q442" s="150"/>
    </row>
    <row r="443">
      <c r="A443" s="151"/>
      <c r="B443" s="121"/>
      <c r="C443" s="122"/>
      <c r="D443" s="123"/>
      <c r="E443" s="124"/>
      <c r="F443" s="122"/>
      <c r="G443" s="125"/>
      <c r="H443" s="122"/>
      <c r="I443" s="126"/>
      <c r="J443" s="152"/>
      <c r="K443" s="122"/>
      <c r="L443" s="45"/>
      <c r="M443" s="153"/>
      <c r="N443" s="128"/>
      <c r="O443" s="129"/>
      <c r="P443" s="121"/>
      <c r="Q443" s="154"/>
    </row>
    <row r="444">
      <c r="A444" s="147"/>
      <c r="B444" s="131"/>
      <c r="C444" s="132"/>
      <c r="D444" s="119"/>
      <c r="E444" s="133"/>
      <c r="F444" s="132"/>
      <c r="G444" s="134"/>
      <c r="H444" s="132"/>
      <c r="I444" s="135"/>
      <c r="J444" s="148"/>
      <c r="K444" s="132"/>
      <c r="L444" s="16"/>
      <c r="M444" s="149"/>
      <c r="N444" s="137"/>
      <c r="O444" s="118"/>
      <c r="P444" s="131"/>
      <c r="Q444" s="150"/>
    </row>
    <row r="445">
      <c r="A445" s="151"/>
      <c r="B445" s="121"/>
      <c r="C445" s="122"/>
      <c r="D445" s="123"/>
      <c r="E445" s="124"/>
      <c r="F445" s="122"/>
      <c r="G445" s="125"/>
      <c r="H445" s="122"/>
      <c r="I445" s="126"/>
      <c r="J445" s="152"/>
      <c r="K445" s="122"/>
      <c r="L445" s="45"/>
      <c r="M445" s="153"/>
      <c r="N445" s="128"/>
      <c r="O445" s="129"/>
      <c r="P445" s="121"/>
      <c r="Q445" s="154"/>
    </row>
    <row r="446">
      <c r="A446" s="147"/>
      <c r="B446" s="131"/>
      <c r="C446" s="132"/>
      <c r="D446" s="119"/>
      <c r="E446" s="133"/>
      <c r="F446" s="132"/>
      <c r="G446" s="134"/>
      <c r="H446" s="132"/>
      <c r="I446" s="135"/>
      <c r="J446" s="148"/>
      <c r="K446" s="132"/>
      <c r="L446" s="16"/>
      <c r="M446" s="149"/>
      <c r="N446" s="137"/>
      <c r="O446" s="118"/>
      <c r="P446" s="131"/>
      <c r="Q446" s="150"/>
    </row>
    <row r="447">
      <c r="A447" s="151"/>
      <c r="B447" s="121"/>
      <c r="C447" s="122"/>
      <c r="D447" s="123"/>
      <c r="E447" s="124"/>
      <c r="F447" s="122"/>
      <c r="G447" s="125"/>
      <c r="H447" s="122"/>
      <c r="I447" s="126"/>
      <c r="J447" s="152"/>
      <c r="K447" s="122"/>
      <c r="L447" s="45"/>
      <c r="M447" s="153"/>
      <c r="N447" s="128"/>
      <c r="O447" s="129"/>
      <c r="P447" s="121"/>
      <c r="Q447" s="154"/>
    </row>
    <row r="448">
      <c r="A448" s="147"/>
      <c r="B448" s="131"/>
      <c r="C448" s="132"/>
      <c r="D448" s="119"/>
      <c r="E448" s="133"/>
      <c r="F448" s="132"/>
      <c r="G448" s="134"/>
      <c r="H448" s="132"/>
      <c r="I448" s="135"/>
      <c r="J448" s="148"/>
      <c r="K448" s="132"/>
      <c r="L448" s="16"/>
      <c r="M448" s="149"/>
      <c r="N448" s="137"/>
      <c r="O448" s="118"/>
      <c r="P448" s="131"/>
      <c r="Q448" s="150"/>
    </row>
    <row r="449">
      <c r="A449" s="151"/>
      <c r="B449" s="121"/>
      <c r="C449" s="122"/>
      <c r="D449" s="123"/>
      <c r="E449" s="124"/>
      <c r="F449" s="122"/>
      <c r="G449" s="125"/>
      <c r="H449" s="122"/>
      <c r="I449" s="126"/>
      <c r="J449" s="152"/>
      <c r="K449" s="122"/>
      <c r="L449" s="45"/>
      <c r="M449" s="153"/>
      <c r="N449" s="128"/>
      <c r="O449" s="129"/>
      <c r="P449" s="121"/>
      <c r="Q449" s="154"/>
    </row>
    <row r="450">
      <c r="A450" s="147"/>
      <c r="B450" s="131"/>
      <c r="C450" s="132"/>
      <c r="D450" s="119"/>
      <c r="E450" s="133"/>
      <c r="F450" s="132"/>
      <c r="G450" s="134"/>
      <c r="H450" s="132"/>
      <c r="I450" s="135"/>
      <c r="J450" s="148"/>
      <c r="K450" s="132"/>
      <c r="L450" s="16"/>
      <c r="M450" s="149"/>
      <c r="N450" s="137"/>
      <c r="O450" s="118"/>
      <c r="P450" s="131"/>
      <c r="Q450" s="150"/>
    </row>
    <row r="451">
      <c r="A451" s="151"/>
      <c r="B451" s="121"/>
      <c r="C451" s="122"/>
      <c r="D451" s="123"/>
      <c r="E451" s="124"/>
      <c r="F451" s="122"/>
      <c r="G451" s="125"/>
      <c r="H451" s="122"/>
      <c r="I451" s="126"/>
      <c r="J451" s="152"/>
      <c r="K451" s="122"/>
      <c r="L451" s="45"/>
      <c r="M451" s="153"/>
      <c r="N451" s="128"/>
      <c r="O451" s="129"/>
      <c r="P451" s="121"/>
      <c r="Q451" s="154"/>
    </row>
    <row r="452">
      <c r="A452" s="147"/>
      <c r="B452" s="131"/>
      <c r="C452" s="132"/>
      <c r="D452" s="119"/>
      <c r="E452" s="133"/>
      <c r="F452" s="132"/>
      <c r="G452" s="134"/>
      <c r="H452" s="132"/>
      <c r="I452" s="135"/>
      <c r="J452" s="148"/>
      <c r="K452" s="132"/>
      <c r="L452" s="16"/>
      <c r="M452" s="149"/>
      <c r="N452" s="137"/>
      <c r="O452" s="118"/>
      <c r="P452" s="131"/>
      <c r="Q452" s="150"/>
    </row>
    <row r="453">
      <c r="A453" s="151"/>
      <c r="B453" s="121"/>
      <c r="C453" s="122"/>
      <c r="D453" s="123"/>
      <c r="E453" s="124"/>
      <c r="F453" s="122"/>
      <c r="G453" s="125"/>
      <c r="H453" s="122"/>
      <c r="I453" s="126"/>
      <c r="J453" s="152"/>
      <c r="K453" s="122"/>
      <c r="L453" s="45"/>
      <c r="M453" s="153"/>
      <c r="N453" s="128"/>
      <c r="O453" s="129"/>
      <c r="P453" s="121"/>
      <c r="Q453" s="154"/>
    </row>
    <row r="454">
      <c r="A454" s="147"/>
      <c r="B454" s="131"/>
      <c r="C454" s="132"/>
      <c r="D454" s="119"/>
      <c r="E454" s="133"/>
      <c r="F454" s="132"/>
      <c r="G454" s="134"/>
      <c r="H454" s="132"/>
      <c r="I454" s="135"/>
      <c r="J454" s="148"/>
      <c r="K454" s="132"/>
      <c r="L454" s="16"/>
      <c r="M454" s="149"/>
      <c r="N454" s="137"/>
      <c r="O454" s="118"/>
      <c r="P454" s="131"/>
      <c r="Q454" s="150"/>
    </row>
    <row r="455">
      <c r="A455" s="151"/>
      <c r="B455" s="121"/>
      <c r="C455" s="122"/>
      <c r="D455" s="123"/>
      <c r="E455" s="124"/>
      <c r="F455" s="122"/>
      <c r="G455" s="125"/>
      <c r="H455" s="122"/>
      <c r="I455" s="126"/>
      <c r="J455" s="152"/>
      <c r="K455" s="122"/>
      <c r="L455" s="45"/>
      <c r="M455" s="153"/>
      <c r="N455" s="128"/>
      <c r="O455" s="129"/>
      <c r="P455" s="121"/>
      <c r="Q455" s="154"/>
    </row>
    <row r="456">
      <c r="A456" s="147"/>
      <c r="B456" s="131"/>
      <c r="C456" s="132"/>
      <c r="D456" s="119"/>
      <c r="E456" s="133"/>
      <c r="F456" s="132"/>
      <c r="G456" s="134"/>
      <c r="H456" s="132"/>
      <c r="I456" s="135"/>
      <c r="J456" s="148"/>
      <c r="K456" s="132"/>
      <c r="L456" s="16"/>
      <c r="M456" s="149"/>
      <c r="N456" s="137"/>
      <c r="O456" s="118"/>
      <c r="P456" s="131"/>
      <c r="Q456" s="150"/>
    </row>
    <row r="457">
      <c r="A457" s="151"/>
      <c r="B457" s="121"/>
      <c r="C457" s="122"/>
      <c r="D457" s="123"/>
      <c r="E457" s="124"/>
      <c r="F457" s="122"/>
      <c r="G457" s="125"/>
      <c r="H457" s="122"/>
      <c r="I457" s="126"/>
      <c r="J457" s="152"/>
      <c r="K457" s="122"/>
      <c r="L457" s="45"/>
      <c r="M457" s="153"/>
      <c r="N457" s="128"/>
      <c r="O457" s="129"/>
      <c r="P457" s="121"/>
      <c r="Q457" s="154"/>
    </row>
    <row r="458">
      <c r="A458" s="147"/>
      <c r="B458" s="131"/>
      <c r="C458" s="132"/>
      <c r="D458" s="119"/>
      <c r="E458" s="133"/>
      <c r="F458" s="132"/>
      <c r="G458" s="134"/>
      <c r="H458" s="132"/>
      <c r="I458" s="135"/>
      <c r="J458" s="148"/>
      <c r="K458" s="132"/>
      <c r="L458" s="16"/>
      <c r="M458" s="149"/>
      <c r="N458" s="137"/>
      <c r="O458" s="118"/>
      <c r="P458" s="131"/>
      <c r="Q458" s="150"/>
    </row>
    <row r="459">
      <c r="A459" s="151"/>
      <c r="B459" s="121"/>
      <c r="C459" s="122"/>
      <c r="D459" s="123"/>
      <c r="E459" s="124"/>
      <c r="F459" s="122"/>
      <c r="G459" s="125"/>
      <c r="H459" s="122"/>
      <c r="I459" s="126"/>
      <c r="J459" s="152"/>
      <c r="K459" s="122"/>
      <c r="L459" s="45"/>
      <c r="M459" s="153"/>
      <c r="N459" s="128"/>
      <c r="O459" s="129"/>
      <c r="P459" s="121"/>
      <c r="Q459" s="154"/>
    </row>
    <row r="460">
      <c r="A460" s="147"/>
      <c r="B460" s="131"/>
      <c r="C460" s="132"/>
      <c r="D460" s="119"/>
      <c r="E460" s="133"/>
      <c r="F460" s="132"/>
      <c r="G460" s="134"/>
      <c r="H460" s="132"/>
      <c r="I460" s="135"/>
      <c r="J460" s="148"/>
      <c r="K460" s="132"/>
      <c r="L460" s="16"/>
      <c r="M460" s="149"/>
      <c r="N460" s="137"/>
      <c r="O460" s="118"/>
      <c r="P460" s="131"/>
      <c r="Q460" s="150"/>
    </row>
    <row r="461">
      <c r="A461" s="151"/>
      <c r="B461" s="121"/>
      <c r="C461" s="122"/>
      <c r="D461" s="123"/>
      <c r="E461" s="124"/>
      <c r="F461" s="122"/>
      <c r="G461" s="125"/>
      <c r="H461" s="122"/>
      <c r="I461" s="126"/>
      <c r="J461" s="152"/>
      <c r="K461" s="122"/>
      <c r="L461" s="45"/>
      <c r="M461" s="153"/>
      <c r="N461" s="128"/>
      <c r="O461" s="129"/>
      <c r="P461" s="121"/>
      <c r="Q461" s="154"/>
    </row>
    <row r="462">
      <c r="A462" s="147"/>
      <c r="B462" s="131"/>
      <c r="C462" s="132"/>
      <c r="D462" s="119"/>
      <c r="E462" s="133"/>
      <c r="F462" s="132"/>
      <c r="G462" s="134"/>
      <c r="H462" s="132"/>
      <c r="I462" s="135"/>
      <c r="J462" s="148"/>
      <c r="K462" s="132"/>
      <c r="L462" s="16"/>
      <c r="M462" s="149"/>
      <c r="N462" s="137"/>
      <c r="O462" s="118"/>
      <c r="P462" s="131"/>
      <c r="Q462" s="150"/>
    </row>
    <row r="463">
      <c r="A463" s="151"/>
      <c r="B463" s="121"/>
      <c r="C463" s="122"/>
      <c r="D463" s="123"/>
      <c r="E463" s="124"/>
      <c r="F463" s="122"/>
      <c r="G463" s="125"/>
      <c r="H463" s="122"/>
      <c r="I463" s="126"/>
      <c r="J463" s="152"/>
      <c r="K463" s="122"/>
      <c r="L463" s="45"/>
      <c r="M463" s="153"/>
      <c r="N463" s="128"/>
      <c r="O463" s="129"/>
      <c r="P463" s="121"/>
      <c r="Q463" s="154"/>
    </row>
    <row r="464">
      <c r="A464" s="147"/>
      <c r="B464" s="131"/>
      <c r="C464" s="132"/>
      <c r="D464" s="119"/>
      <c r="E464" s="133"/>
      <c r="F464" s="132"/>
      <c r="G464" s="134"/>
      <c r="H464" s="132"/>
      <c r="I464" s="135"/>
      <c r="J464" s="148"/>
      <c r="K464" s="132"/>
      <c r="L464" s="16"/>
      <c r="M464" s="149"/>
      <c r="N464" s="137"/>
      <c r="O464" s="118"/>
      <c r="P464" s="131"/>
      <c r="Q464" s="150"/>
    </row>
    <row r="465">
      <c r="A465" s="151"/>
      <c r="B465" s="121"/>
      <c r="C465" s="122"/>
      <c r="D465" s="123"/>
      <c r="E465" s="124"/>
      <c r="F465" s="122"/>
      <c r="G465" s="125"/>
      <c r="H465" s="122"/>
      <c r="I465" s="126"/>
      <c r="J465" s="152"/>
      <c r="K465" s="122"/>
      <c r="L465" s="45"/>
      <c r="M465" s="153"/>
      <c r="N465" s="128"/>
      <c r="O465" s="129"/>
      <c r="P465" s="121"/>
      <c r="Q465" s="154"/>
    </row>
    <row r="466">
      <c r="A466" s="147"/>
      <c r="B466" s="131"/>
      <c r="C466" s="132"/>
      <c r="D466" s="119"/>
      <c r="E466" s="133"/>
      <c r="F466" s="132"/>
      <c r="G466" s="134"/>
      <c r="H466" s="132"/>
      <c r="I466" s="135"/>
      <c r="J466" s="148"/>
      <c r="K466" s="132"/>
      <c r="L466" s="16"/>
      <c r="M466" s="149"/>
      <c r="N466" s="137"/>
      <c r="O466" s="118"/>
      <c r="P466" s="131"/>
      <c r="Q466" s="150"/>
    </row>
    <row r="467">
      <c r="A467" s="151"/>
      <c r="B467" s="121"/>
      <c r="C467" s="122"/>
      <c r="D467" s="123"/>
      <c r="E467" s="124"/>
      <c r="F467" s="122"/>
      <c r="G467" s="125"/>
      <c r="H467" s="122"/>
      <c r="I467" s="126"/>
      <c r="J467" s="152"/>
      <c r="K467" s="122"/>
      <c r="L467" s="45"/>
      <c r="M467" s="153"/>
      <c r="N467" s="128"/>
      <c r="O467" s="129"/>
      <c r="P467" s="121"/>
      <c r="Q467" s="154"/>
    </row>
    <row r="468">
      <c r="A468" s="147"/>
      <c r="B468" s="131"/>
      <c r="C468" s="132"/>
      <c r="D468" s="119"/>
      <c r="E468" s="133"/>
      <c r="F468" s="132"/>
      <c r="G468" s="134"/>
      <c r="H468" s="132"/>
      <c r="I468" s="135"/>
      <c r="J468" s="148"/>
      <c r="K468" s="132"/>
      <c r="L468" s="16"/>
      <c r="M468" s="149"/>
      <c r="N468" s="137"/>
      <c r="O468" s="118"/>
      <c r="P468" s="131"/>
      <c r="Q468" s="150"/>
    </row>
    <row r="469">
      <c r="A469" s="151"/>
      <c r="B469" s="121"/>
      <c r="C469" s="122"/>
      <c r="D469" s="123"/>
      <c r="E469" s="124"/>
      <c r="F469" s="122"/>
      <c r="G469" s="125"/>
      <c r="H469" s="122"/>
      <c r="I469" s="126"/>
      <c r="J469" s="152"/>
      <c r="K469" s="122"/>
      <c r="L469" s="45"/>
      <c r="M469" s="153"/>
      <c r="N469" s="128"/>
      <c r="O469" s="129"/>
      <c r="P469" s="121"/>
      <c r="Q469" s="154"/>
    </row>
    <row r="470">
      <c r="A470" s="147"/>
      <c r="B470" s="131"/>
      <c r="C470" s="132"/>
      <c r="D470" s="119"/>
      <c r="E470" s="133"/>
      <c r="F470" s="132"/>
      <c r="G470" s="134"/>
      <c r="H470" s="132"/>
      <c r="I470" s="135"/>
      <c r="J470" s="148"/>
      <c r="K470" s="132"/>
      <c r="L470" s="16"/>
      <c r="M470" s="149"/>
      <c r="N470" s="137"/>
      <c r="O470" s="118"/>
      <c r="P470" s="131"/>
      <c r="Q470" s="150"/>
    </row>
    <row r="471">
      <c r="A471" s="151"/>
      <c r="B471" s="121"/>
      <c r="C471" s="122"/>
      <c r="D471" s="123"/>
      <c r="E471" s="124"/>
      <c r="F471" s="122"/>
      <c r="G471" s="125"/>
      <c r="H471" s="122"/>
      <c r="I471" s="126"/>
      <c r="J471" s="152"/>
      <c r="K471" s="122"/>
      <c r="L471" s="45"/>
      <c r="M471" s="153"/>
      <c r="N471" s="128"/>
      <c r="O471" s="129"/>
      <c r="P471" s="121"/>
      <c r="Q471" s="154"/>
    </row>
    <row r="472">
      <c r="A472" s="147"/>
      <c r="B472" s="131"/>
      <c r="C472" s="132"/>
      <c r="D472" s="119"/>
      <c r="E472" s="133"/>
      <c r="F472" s="132"/>
      <c r="G472" s="134"/>
      <c r="H472" s="132"/>
      <c r="I472" s="135"/>
      <c r="J472" s="148"/>
      <c r="K472" s="132"/>
      <c r="L472" s="16"/>
      <c r="M472" s="149"/>
      <c r="N472" s="137"/>
      <c r="O472" s="118"/>
      <c r="P472" s="131"/>
      <c r="Q472" s="150"/>
    </row>
    <row r="473">
      <c r="A473" s="151"/>
      <c r="B473" s="121"/>
      <c r="C473" s="122"/>
      <c r="D473" s="123"/>
      <c r="E473" s="124"/>
      <c r="F473" s="122"/>
      <c r="G473" s="125"/>
      <c r="H473" s="122"/>
      <c r="I473" s="126"/>
      <c r="J473" s="152"/>
      <c r="K473" s="122"/>
      <c r="L473" s="45"/>
      <c r="M473" s="153"/>
      <c r="N473" s="128"/>
      <c r="O473" s="129"/>
      <c r="P473" s="121"/>
      <c r="Q473" s="154"/>
    </row>
    <row r="474">
      <c r="A474" s="147"/>
      <c r="B474" s="131"/>
      <c r="C474" s="132"/>
      <c r="D474" s="119"/>
      <c r="E474" s="133"/>
      <c r="F474" s="132"/>
      <c r="G474" s="134"/>
      <c r="H474" s="132"/>
      <c r="I474" s="135"/>
      <c r="J474" s="148"/>
      <c r="K474" s="132"/>
      <c r="L474" s="16"/>
      <c r="M474" s="149"/>
      <c r="N474" s="137"/>
      <c r="O474" s="118"/>
      <c r="P474" s="131"/>
      <c r="Q474" s="150"/>
    </row>
    <row r="475">
      <c r="A475" s="151"/>
      <c r="B475" s="121"/>
      <c r="C475" s="122"/>
      <c r="D475" s="123"/>
      <c r="E475" s="124"/>
      <c r="F475" s="122"/>
      <c r="G475" s="125"/>
      <c r="H475" s="122"/>
      <c r="I475" s="126"/>
      <c r="J475" s="152"/>
      <c r="K475" s="122"/>
      <c r="L475" s="45"/>
      <c r="M475" s="153"/>
      <c r="N475" s="128"/>
      <c r="O475" s="129"/>
      <c r="P475" s="121"/>
      <c r="Q475" s="154"/>
    </row>
    <row r="476">
      <c r="A476" s="147"/>
      <c r="B476" s="131"/>
      <c r="C476" s="132"/>
      <c r="D476" s="119"/>
      <c r="E476" s="133"/>
      <c r="F476" s="132"/>
      <c r="G476" s="134"/>
      <c r="H476" s="132"/>
      <c r="I476" s="135"/>
      <c r="J476" s="148"/>
      <c r="K476" s="132"/>
      <c r="L476" s="16"/>
      <c r="M476" s="149"/>
      <c r="N476" s="137"/>
      <c r="O476" s="118"/>
      <c r="P476" s="131"/>
      <c r="Q476" s="150"/>
    </row>
    <row r="477">
      <c r="A477" s="151"/>
      <c r="B477" s="121"/>
      <c r="C477" s="122"/>
      <c r="D477" s="123"/>
      <c r="E477" s="124"/>
      <c r="F477" s="122"/>
      <c r="G477" s="125"/>
      <c r="H477" s="122"/>
      <c r="I477" s="126"/>
      <c r="J477" s="152"/>
      <c r="K477" s="122"/>
      <c r="L477" s="45"/>
      <c r="M477" s="153"/>
      <c r="N477" s="128"/>
      <c r="O477" s="129"/>
      <c r="P477" s="121"/>
      <c r="Q477" s="154"/>
    </row>
    <row r="478">
      <c r="A478" s="147"/>
      <c r="B478" s="131"/>
      <c r="C478" s="132"/>
      <c r="D478" s="119"/>
      <c r="E478" s="133"/>
      <c r="F478" s="132"/>
      <c r="G478" s="134"/>
      <c r="H478" s="132"/>
      <c r="I478" s="135"/>
      <c r="J478" s="148"/>
      <c r="K478" s="132"/>
      <c r="L478" s="16"/>
      <c r="M478" s="149"/>
      <c r="N478" s="137"/>
      <c r="O478" s="118"/>
      <c r="P478" s="131"/>
      <c r="Q478" s="150"/>
    </row>
    <row r="479">
      <c r="A479" s="151"/>
      <c r="B479" s="121"/>
      <c r="C479" s="122"/>
      <c r="D479" s="123"/>
      <c r="E479" s="124"/>
      <c r="F479" s="122"/>
      <c r="G479" s="125"/>
      <c r="H479" s="122"/>
      <c r="I479" s="126"/>
      <c r="J479" s="152"/>
      <c r="K479" s="122"/>
      <c r="L479" s="45"/>
      <c r="M479" s="153"/>
      <c r="N479" s="128"/>
      <c r="O479" s="129"/>
      <c r="P479" s="121"/>
      <c r="Q479" s="154"/>
    </row>
    <row r="480">
      <c r="A480" s="147"/>
      <c r="B480" s="131"/>
      <c r="C480" s="132"/>
      <c r="D480" s="119"/>
      <c r="E480" s="133"/>
      <c r="F480" s="132"/>
      <c r="G480" s="134"/>
      <c r="H480" s="132"/>
      <c r="I480" s="135"/>
      <c r="J480" s="148"/>
      <c r="K480" s="132"/>
      <c r="L480" s="16"/>
      <c r="M480" s="149"/>
      <c r="N480" s="137"/>
      <c r="O480" s="118"/>
      <c r="P480" s="131"/>
      <c r="Q480" s="150"/>
    </row>
    <row r="481">
      <c r="A481" s="151"/>
      <c r="B481" s="121"/>
      <c r="C481" s="122"/>
      <c r="D481" s="123"/>
      <c r="E481" s="124"/>
      <c r="F481" s="122"/>
      <c r="G481" s="125"/>
      <c r="H481" s="122"/>
      <c r="I481" s="126"/>
      <c r="J481" s="152"/>
      <c r="K481" s="122"/>
      <c r="L481" s="45"/>
      <c r="M481" s="153"/>
      <c r="N481" s="128"/>
      <c r="O481" s="129"/>
      <c r="P481" s="121"/>
      <c r="Q481" s="154"/>
    </row>
    <row r="482">
      <c r="A482" s="147"/>
      <c r="B482" s="131"/>
      <c r="C482" s="132"/>
      <c r="D482" s="119"/>
      <c r="E482" s="133"/>
      <c r="F482" s="132"/>
      <c r="G482" s="134"/>
      <c r="H482" s="132"/>
      <c r="I482" s="135"/>
      <c r="J482" s="148"/>
      <c r="K482" s="132"/>
      <c r="L482" s="16"/>
      <c r="M482" s="149"/>
      <c r="N482" s="137"/>
      <c r="O482" s="118"/>
      <c r="P482" s="131"/>
      <c r="Q482" s="150"/>
    </row>
    <row r="483">
      <c r="A483" s="151"/>
      <c r="B483" s="121"/>
      <c r="C483" s="122"/>
      <c r="D483" s="123"/>
      <c r="E483" s="124"/>
      <c r="F483" s="122"/>
      <c r="G483" s="125"/>
      <c r="H483" s="122"/>
      <c r="I483" s="126"/>
      <c r="J483" s="152"/>
      <c r="K483" s="122"/>
      <c r="L483" s="45"/>
      <c r="M483" s="153"/>
      <c r="N483" s="128"/>
      <c r="O483" s="129"/>
      <c r="P483" s="121"/>
      <c r="Q483" s="154"/>
    </row>
    <row r="484">
      <c r="A484" s="147"/>
      <c r="B484" s="131"/>
      <c r="C484" s="132"/>
      <c r="D484" s="119"/>
      <c r="E484" s="133"/>
      <c r="F484" s="132"/>
      <c r="G484" s="134"/>
      <c r="H484" s="132"/>
      <c r="I484" s="135"/>
      <c r="J484" s="148"/>
      <c r="K484" s="132"/>
      <c r="L484" s="16"/>
      <c r="M484" s="149"/>
      <c r="N484" s="137"/>
      <c r="O484" s="118"/>
      <c r="P484" s="131"/>
      <c r="Q484" s="150"/>
    </row>
    <row r="485">
      <c r="A485" s="151"/>
      <c r="B485" s="121"/>
      <c r="C485" s="122"/>
      <c r="D485" s="123"/>
      <c r="E485" s="124"/>
      <c r="F485" s="122"/>
      <c r="G485" s="125"/>
      <c r="H485" s="122"/>
      <c r="I485" s="126"/>
      <c r="J485" s="152"/>
      <c r="K485" s="122"/>
      <c r="L485" s="45"/>
      <c r="M485" s="153"/>
      <c r="N485" s="128"/>
      <c r="O485" s="129"/>
      <c r="P485" s="121"/>
      <c r="Q485" s="154"/>
    </row>
    <row r="486">
      <c r="A486" s="147"/>
      <c r="B486" s="131"/>
      <c r="C486" s="132"/>
      <c r="D486" s="119"/>
      <c r="E486" s="133"/>
      <c r="F486" s="132"/>
      <c r="G486" s="134"/>
      <c r="H486" s="132"/>
      <c r="I486" s="135"/>
      <c r="J486" s="148"/>
      <c r="K486" s="132"/>
      <c r="L486" s="16"/>
      <c r="M486" s="149"/>
      <c r="N486" s="137"/>
      <c r="O486" s="118"/>
      <c r="P486" s="131"/>
      <c r="Q486" s="150"/>
    </row>
    <row r="487">
      <c r="A487" s="151"/>
      <c r="B487" s="121"/>
      <c r="C487" s="122"/>
      <c r="D487" s="123"/>
      <c r="E487" s="124"/>
      <c r="F487" s="122"/>
      <c r="G487" s="125"/>
      <c r="H487" s="122"/>
      <c r="I487" s="126"/>
      <c r="J487" s="152"/>
      <c r="K487" s="122"/>
      <c r="L487" s="45"/>
      <c r="M487" s="153"/>
      <c r="N487" s="128"/>
      <c r="O487" s="129"/>
      <c r="P487" s="121"/>
      <c r="Q487" s="154"/>
    </row>
    <row r="488">
      <c r="A488" s="147"/>
      <c r="B488" s="131"/>
      <c r="C488" s="132"/>
      <c r="D488" s="119"/>
      <c r="E488" s="133"/>
      <c r="F488" s="132"/>
      <c r="G488" s="134"/>
      <c r="H488" s="132"/>
      <c r="I488" s="135"/>
      <c r="J488" s="148"/>
      <c r="K488" s="132"/>
      <c r="L488" s="16"/>
      <c r="M488" s="149"/>
      <c r="N488" s="137"/>
      <c r="O488" s="118"/>
      <c r="P488" s="131"/>
      <c r="Q488" s="150"/>
    </row>
    <row r="489">
      <c r="A489" s="151"/>
      <c r="B489" s="121"/>
      <c r="C489" s="122"/>
      <c r="D489" s="123"/>
      <c r="E489" s="124"/>
      <c r="F489" s="122"/>
      <c r="G489" s="125"/>
      <c r="H489" s="122"/>
      <c r="I489" s="126"/>
      <c r="J489" s="152"/>
      <c r="K489" s="122"/>
      <c r="L489" s="45"/>
      <c r="M489" s="153"/>
      <c r="N489" s="128"/>
      <c r="O489" s="129"/>
      <c r="P489" s="121"/>
      <c r="Q489" s="154"/>
    </row>
    <row r="490">
      <c r="A490" s="147"/>
      <c r="B490" s="131"/>
      <c r="C490" s="132"/>
      <c r="D490" s="119"/>
      <c r="E490" s="133"/>
      <c r="F490" s="132"/>
      <c r="G490" s="134"/>
      <c r="H490" s="132"/>
      <c r="I490" s="135"/>
      <c r="J490" s="148"/>
      <c r="K490" s="132"/>
      <c r="L490" s="16"/>
      <c r="M490" s="149"/>
      <c r="N490" s="137"/>
      <c r="O490" s="118"/>
      <c r="P490" s="131"/>
      <c r="Q490" s="150"/>
    </row>
    <row r="491">
      <c r="A491" s="151"/>
      <c r="B491" s="121"/>
      <c r="C491" s="122"/>
      <c r="D491" s="123"/>
      <c r="E491" s="124"/>
      <c r="F491" s="122"/>
      <c r="G491" s="125"/>
      <c r="H491" s="122"/>
      <c r="I491" s="126"/>
      <c r="J491" s="152"/>
      <c r="K491" s="122"/>
      <c r="L491" s="45"/>
      <c r="M491" s="153"/>
      <c r="N491" s="128"/>
      <c r="O491" s="129"/>
      <c r="P491" s="121"/>
      <c r="Q491" s="154"/>
    </row>
    <row r="492">
      <c r="A492" s="147"/>
      <c r="B492" s="131"/>
      <c r="C492" s="132"/>
      <c r="D492" s="119"/>
      <c r="E492" s="133"/>
      <c r="F492" s="132"/>
      <c r="G492" s="134"/>
      <c r="H492" s="132"/>
      <c r="I492" s="135"/>
      <c r="J492" s="148"/>
      <c r="K492" s="132"/>
      <c r="L492" s="16"/>
      <c r="M492" s="149"/>
      <c r="N492" s="137"/>
      <c r="O492" s="118"/>
      <c r="P492" s="131"/>
      <c r="Q492" s="150"/>
    </row>
    <row r="493">
      <c r="A493" s="151"/>
      <c r="B493" s="121"/>
      <c r="C493" s="122"/>
      <c r="D493" s="123"/>
      <c r="E493" s="124"/>
      <c r="F493" s="122"/>
      <c r="G493" s="125"/>
      <c r="H493" s="122"/>
      <c r="I493" s="126"/>
      <c r="J493" s="152"/>
      <c r="K493" s="122"/>
      <c r="L493" s="45"/>
      <c r="M493" s="153"/>
      <c r="N493" s="128"/>
      <c r="O493" s="129"/>
      <c r="P493" s="121"/>
      <c r="Q493" s="154"/>
    </row>
    <row r="494">
      <c r="A494" s="147"/>
      <c r="B494" s="131"/>
      <c r="C494" s="132"/>
      <c r="D494" s="119"/>
      <c r="E494" s="133"/>
      <c r="F494" s="132"/>
      <c r="G494" s="134"/>
      <c r="H494" s="132"/>
      <c r="I494" s="135"/>
      <c r="J494" s="148"/>
      <c r="K494" s="132"/>
      <c r="L494" s="16"/>
      <c r="M494" s="149"/>
      <c r="N494" s="137"/>
      <c r="O494" s="118"/>
      <c r="P494" s="131"/>
      <c r="Q494" s="150"/>
    </row>
    <row r="495">
      <c r="A495" s="151"/>
      <c r="B495" s="121"/>
      <c r="C495" s="122"/>
      <c r="D495" s="123"/>
      <c r="E495" s="124"/>
      <c r="F495" s="122"/>
      <c r="G495" s="125"/>
      <c r="H495" s="122"/>
      <c r="I495" s="126"/>
      <c r="J495" s="152"/>
      <c r="K495" s="122"/>
      <c r="L495" s="45"/>
      <c r="M495" s="153"/>
      <c r="N495" s="128"/>
      <c r="O495" s="129"/>
      <c r="P495" s="121"/>
      <c r="Q495" s="154"/>
    </row>
    <row r="496">
      <c r="A496" s="147"/>
      <c r="B496" s="131"/>
      <c r="C496" s="132"/>
      <c r="D496" s="119"/>
      <c r="E496" s="133"/>
      <c r="F496" s="132"/>
      <c r="G496" s="134"/>
      <c r="H496" s="132"/>
      <c r="I496" s="135"/>
      <c r="J496" s="148"/>
      <c r="K496" s="132"/>
      <c r="L496" s="16"/>
      <c r="M496" s="149"/>
      <c r="N496" s="137"/>
      <c r="O496" s="118"/>
      <c r="P496" s="131"/>
      <c r="Q496" s="150"/>
    </row>
    <row r="497">
      <c r="A497" s="151"/>
      <c r="B497" s="121"/>
      <c r="C497" s="122"/>
      <c r="D497" s="123"/>
      <c r="E497" s="124"/>
      <c r="F497" s="122"/>
      <c r="G497" s="125"/>
      <c r="H497" s="122"/>
      <c r="I497" s="126"/>
      <c r="J497" s="152"/>
      <c r="K497" s="122"/>
      <c r="L497" s="45"/>
      <c r="M497" s="153"/>
      <c r="N497" s="128"/>
      <c r="O497" s="129"/>
      <c r="P497" s="121"/>
      <c r="Q497" s="154"/>
    </row>
    <row r="498">
      <c r="A498" s="147"/>
      <c r="B498" s="131"/>
      <c r="C498" s="132"/>
      <c r="D498" s="119"/>
      <c r="E498" s="133"/>
      <c r="F498" s="132"/>
      <c r="G498" s="134"/>
      <c r="H498" s="132"/>
      <c r="I498" s="135"/>
      <c r="J498" s="148"/>
      <c r="K498" s="132"/>
      <c r="L498" s="16"/>
      <c r="M498" s="149"/>
      <c r="N498" s="137"/>
      <c r="O498" s="118"/>
      <c r="P498" s="131"/>
      <c r="Q498" s="150"/>
    </row>
    <row r="499">
      <c r="A499" s="151"/>
      <c r="B499" s="121"/>
      <c r="C499" s="122"/>
      <c r="D499" s="123"/>
      <c r="E499" s="124"/>
      <c r="F499" s="122"/>
      <c r="G499" s="125"/>
      <c r="H499" s="122"/>
      <c r="I499" s="126"/>
      <c r="J499" s="152"/>
      <c r="K499" s="122"/>
      <c r="L499" s="45"/>
      <c r="M499" s="153"/>
      <c r="N499" s="128"/>
      <c r="O499" s="129"/>
      <c r="P499" s="121"/>
      <c r="Q499" s="154"/>
    </row>
    <row r="500">
      <c r="A500" s="147"/>
      <c r="B500" s="131"/>
      <c r="C500" s="132"/>
      <c r="D500" s="119"/>
      <c r="E500" s="133"/>
      <c r="F500" s="132"/>
      <c r="G500" s="134"/>
      <c r="H500" s="132"/>
      <c r="I500" s="135"/>
      <c r="J500" s="148"/>
      <c r="K500" s="132"/>
      <c r="L500" s="16"/>
      <c r="M500" s="149"/>
      <c r="N500" s="137"/>
      <c r="O500" s="118"/>
      <c r="P500" s="131"/>
      <c r="Q500" s="150"/>
    </row>
    <row r="501">
      <c r="A501" s="151"/>
      <c r="B501" s="121"/>
      <c r="C501" s="122"/>
      <c r="D501" s="123"/>
      <c r="E501" s="124"/>
      <c r="F501" s="122"/>
      <c r="G501" s="125"/>
      <c r="H501" s="122"/>
      <c r="I501" s="126"/>
      <c r="J501" s="152"/>
      <c r="K501" s="122"/>
      <c r="L501" s="45"/>
      <c r="M501" s="153"/>
      <c r="N501" s="128"/>
      <c r="O501" s="129"/>
      <c r="P501" s="121"/>
      <c r="Q501" s="154"/>
    </row>
    <row r="502">
      <c r="A502" s="147"/>
      <c r="B502" s="131"/>
      <c r="C502" s="132"/>
      <c r="D502" s="119"/>
      <c r="E502" s="133"/>
      <c r="F502" s="132"/>
      <c r="G502" s="134"/>
      <c r="H502" s="132"/>
      <c r="I502" s="135"/>
      <c r="J502" s="148"/>
      <c r="K502" s="132"/>
      <c r="L502" s="16"/>
      <c r="M502" s="149"/>
      <c r="N502" s="137"/>
      <c r="O502" s="118"/>
      <c r="P502" s="131"/>
      <c r="Q502" s="150"/>
    </row>
    <row r="503">
      <c r="A503" s="151"/>
      <c r="B503" s="121"/>
      <c r="C503" s="122"/>
      <c r="D503" s="123"/>
      <c r="E503" s="124"/>
      <c r="F503" s="122"/>
      <c r="G503" s="125"/>
      <c r="H503" s="122"/>
      <c r="I503" s="126"/>
      <c r="J503" s="152"/>
      <c r="K503" s="122"/>
      <c r="L503" s="45"/>
      <c r="M503" s="153"/>
      <c r="N503" s="128"/>
      <c r="O503" s="129"/>
      <c r="P503" s="121"/>
      <c r="Q503" s="154"/>
    </row>
    <row r="504">
      <c r="A504" s="147"/>
      <c r="B504" s="131"/>
      <c r="C504" s="132"/>
      <c r="D504" s="119"/>
      <c r="E504" s="133"/>
      <c r="F504" s="132"/>
      <c r="G504" s="134"/>
      <c r="H504" s="132"/>
      <c r="I504" s="135"/>
      <c r="J504" s="148"/>
      <c r="K504" s="132"/>
      <c r="L504" s="16"/>
      <c r="M504" s="149"/>
      <c r="N504" s="137"/>
      <c r="O504" s="118"/>
      <c r="P504" s="131"/>
      <c r="Q504" s="150"/>
    </row>
    <row r="505">
      <c r="A505" s="151"/>
      <c r="B505" s="121"/>
      <c r="C505" s="122"/>
      <c r="D505" s="123"/>
      <c r="E505" s="124"/>
      <c r="F505" s="122"/>
      <c r="G505" s="125"/>
      <c r="H505" s="122"/>
      <c r="I505" s="126"/>
      <c r="J505" s="152"/>
      <c r="K505" s="122"/>
      <c r="L505" s="45"/>
      <c r="M505" s="153"/>
      <c r="N505" s="128"/>
      <c r="O505" s="129"/>
      <c r="P505" s="121"/>
      <c r="Q505" s="154"/>
    </row>
    <row r="506">
      <c r="A506" s="147"/>
      <c r="B506" s="131"/>
      <c r="C506" s="132"/>
      <c r="D506" s="119"/>
      <c r="E506" s="133"/>
      <c r="F506" s="132"/>
      <c r="G506" s="134"/>
      <c r="H506" s="132"/>
      <c r="I506" s="135"/>
      <c r="J506" s="148"/>
      <c r="K506" s="132"/>
      <c r="L506" s="16"/>
      <c r="M506" s="149"/>
      <c r="N506" s="137"/>
      <c r="O506" s="118"/>
      <c r="P506" s="131"/>
      <c r="Q506" s="150"/>
    </row>
    <row r="507">
      <c r="A507" s="151"/>
      <c r="B507" s="121"/>
      <c r="C507" s="122"/>
      <c r="D507" s="123"/>
      <c r="E507" s="124"/>
      <c r="F507" s="122"/>
      <c r="G507" s="125"/>
      <c r="H507" s="122"/>
      <c r="I507" s="126"/>
      <c r="J507" s="152"/>
      <c r="K507" s="122"/>
      <c r="L507" s="45"/>
      <c r="M507" s="153"/>
      <c r="N507" s="128"/>
      <c r="O507" s="129"/>
      <c r="P507" s="121"/>
      <c r="Q507" s="154"/>
    </row>
    <row r="508">
      <c r="A508" s="147"/>
      <c r="B508" s="131"/>
      <c r="C508" s="132"/>
      <c r="D508" s="119"/>
      <c r="E508" s="133"/>
      <c r="F508" s="132"/>
      <c r="G508" s="134"/>
      <c r="H508" s="132"/>
      <c r="I508" s="135"/>
      <c r="J508" s="148"/>
      <c r="K508" s="132"/>
      <c r="L508" s="16"/>
      <c r="M508" s="149"/>
      <c r="N508" s="137"/>
      <c r="O508" s="118"/>
      <c r="P508" s="131"/>
      <c r="Q508" s="150"/>
    </row>
    <row r="509">
      <c r="A509" s="151"/>
      <c r="B509" s="121"/>
      <c r="C509" s="122"/>
      <c r="D509" s="123"/>
      <c r="E509" s="124"/>
      <c r="F509" s="122"/>
      <c r="G509" s="125"/>
      <c r="H509" s="122"/>
      <c r="I509" s="126"/>
      <c r="J509" s="152"/>
      <c r="K509" s="122"/>
      <c r="L509" s="45"/>
      <c r="M509" s="153"/>
      <c r="N509" s="128"/>
      <c r="O509" s="129"/>
      <c r="P509" s="121"/>
      <c r="Q509" s="154"/>
    </row>
    <row r="510">
      <c r="A510" s="147"/>
      <c r="B510" s="131"/>
      <c r="C510" s="132"/>
      <c r="D510" s="119"/>
      <c r="E510" s="133"/>
      <c r="F510" s="132"/>
      <c r="G510" s="134"/>
      <c r="H510" s="132"/>
      <c r="I510" s="135"/>
      <c r="J510" s="148"/>
      <c r="K510" s="132"/>
      <c r="L510" s="16"/>
      <c r="M510" s="149"/>
      <c r="N510" s="137"/>
      <c r="O510" s="118"/>
      <c r="P510" s="131"/>
      <c r="Q510" s="150"/>
    </row>
    <row r="511">
      <c r="A511" s="151"/>
      <c r="B511" s="121"/>
      <c r="C511" s="122"/>
      <c r="D511" s="123"/>
      <c r="E511" s="124"/>
      <c r="F511" s="122"/>
      <c r="G511" s="125"/>
      <c r="H511" s="122"/>
      <c r="I511" s="126"/>
      <c r="J511" s="152"/>
      <c r="K511" s="122"/>
      <c r="L511" s="45"/>
      <c r="M511" s="153"/>
      <c r="N511" s="128"/>
      <c r="O511" s="129"/>
      <c r="P511" s="121"/>
      <c r="Q511" s="154"/>
    </row>
    <row r="512">
      <c r="A512" s="147"/>
      <c r="B512" s="131"/>
      <c r="C512" s="132"/>
      <c r="D512" s="119"/>
      <c r="E512" s="133"/>
      <c r="F512" s="132"/>
      <c r="G512" s="134"/>
      <c r="H512" s="132"/>
      <c r="I512" s="135"/>
      <c r="J512" s="148"/>
      <c r="K512" s="132"/>
      <c r="L512" s="16"/>
      <c r="M512" s="149"/>
      <c r="N512" s="137"/>
      <c r="O512" s="118"/>
      <c r="P512" s="131"/>
      <c r="Q512" s="150"/>
    </row>
    <row r="513">
      <c r="A513" s="151"/>
      <c r="B513" s="121"/>
      <c r="C513" s="122"/>
      <c r="D513" s="123"/>
      <c r="E513" s="124"/>
      <c r="F513" s="122"/>
      <c r="G513" s="125"/>
      <c r="H513" s="122"/>
      <c r="I513" s="126"/>
      <c r="J513" s="152"/>
      <c r="K513" s="122"/>
      <c r="L513" s="45"/>
      <c r="M513" s="153"/>
      <c r="N513" s="128"/>
      <c r="O513" s="129"/>
      <c r="P513" s="121"/>
      <c r="Q513" s="154"/>
    </row>
    <row r="514">
      <c r="A514" s="147"/>
      <c r="B514" s="131"/>
      <c r="C514" s="132"/>
      <c r="D514" s="119"/>
      <c r="E514" s="133"/>
      <c r="F514" s="132"/>
      <c r="G514" s="134"/>
      <c r="H514" s="132"/>
      <c r="I514" s="135"/>
      <c r="J514" s="148"/>
      <c r="K514" s="132"/>
      <c r="L514" s="16"/>
      <c r="M514" s="149"/>
      <c r="N514" s="137"/>
      <c r="O514" s="118"/>
      <c r="P514" s="131"/>
      <c r="Q514" s="150"/>
    </row>
    <row r="515">
      <c r="A515" s="151"/>
      <c r="B515" s="121"/>
      <c r="C515" s="122"/>
      <c r="D515" s="123"/>
      <c r="E515" s="124"/>
      <c r="F515" s="122"/>
      <c r="G515" s="125"/>
      <c r="H515" s="122"/>
      <c r="I515" s="126"/>
      <c r="J515" s="152"/>
      <c r="K515" s="122"/>
      <c r="L515" s="45"/>
      <c r="M515" s="153"/>
      <c r="N515" s="128"/>
      <c r="O515" s="129"/>
      <c r="P515" s="121"/>
      <c r="Q515" s="154"/>
    </row>
    <row r="516">
      <c r="A516" s="147"/>
      <c r="B516" s="131"/>
      <c r="C516" s="132"/>
      <c r="D516" s="119"/>
      <c r="E516" s="133"/>
      <c r="F516" s="132"/>
      <c r="G516" s="134"/>
      <c r="H516" s="132"/>
      <c r="I516" s="135"/>
      <c r="J516" s="148"/>
      <c r="K516" s="132"/>
      <c r="L516" s="16"/>
      <c r="M516" s="149"/>
      <c r="N516" s="137"/>
      <c r="O516" s="118"/>
      <c r="P516" s="131"/>
      <c r="Q516" s="150"/>
    </row>
    <row r="517">
      <c r="A517" s="151"/>
      <c r="B517" s="121"/>
      <c r="C517" s="122"/>
      <c r="D517" s="123"/>
      <c r="E517" s="124"/>
      <c r="F517" s="122"/>
      <c r="G517" s="125"/>
      <c r="H517" s="122"/>
      <c r="I517" s="126"/>
      <c r="J517" s="152"/>
      <c r="K517" s="122"/>
      <c r="L517" s="45"/>
      <c r="M517" s="153"/>
      <c r="N517" s="128"/>
      <c r="O517" s="129"/>
      <c r="P517" s="121"/>
      <c r="Q517" s="154"/>
    </row>
    <row r="518">
      <c r="A518" s="147"/>
      <c r="B518" s="131"/>
      <c r="C518" s="132"/>
      <c r="D518" s="119"/>
      <c r="E518" s="133"/>
      <c r="F518" s="132"/>
      <c r="G518" s="134"/>
      <c r="H518" s="132"/>
      <c r="I518" s="135"/>
      <c r="J518" s="148"/>
      <c r="K518" s="132"/>
      <c r="L518" s="16"/>
      <c r="M518" s="149"/>
      <c r="N518" s="137"/>
      <c r="O518" s="118"/>
      <c r="P518" s="131"/>
      <c r="Q518" s="150"/>
    </row>
    <row r="519">
      <c r="A519" s="151"/>
      <c r="B519" s="121"/>
      <c r="C519" s="122"/>
      <c r="D519" s="123"/>
      <c r="E519" s="124"/>
      <c r="F519" s="122"/>
      <c r="G519" s="125"/>
      <c r="H519" s="122"/>
      <c r="I519" s="126"/>
      <c r="J519" s="152"/>
      <c r="K519" s="122"/>
      <c r="L519" s="45"/>
      <c r="M519" s="153"/>
      <c r="N519" s="128"/>
      <c r="O519" s="129"/>
      <c r="P519" s="121"/>
      <c r="Q519" s="154"/>
    </row>
    <row r="520">
      <c r="A520" s="147"/>
      <c r="B520" s="131"/>
      <c r="C520" s="132"/>
      <c r="D520" s="119"/>
      <c r="E520" s="133"/>
      <c r="F520" s="132"/>
      <c r="G520" s="134"/>
      <c r="H520" s="132"/>
      <c r="I520" s="135"/>
      <c r="J520" s="148"/>
      <c r="K520" s="132"/>
      <c r="L520" s="16"/>
      <c r="M520" s="149"/>
      <c r="N520" s="137"/>
      <c r="O520" s="118"/>
      <c r="P520" s="131"/>
      <c r="Q520" s="150"/>
    </row>
    <row r="521">
      <c r="A521" s="151"/>
      <c r="B521" s="121"/>
      <c r="C521" s="122"/>
      <c r="D521" s="123"/>
      <c r="E521" s="124"/>
      <c r="F521" s="122"/>
      <c r="G521" s="125"/>
      <c r="H521" s="122"/>
      <c r="I521" s="126"/>
      <c r="J521" s="152"/>
      <c r="K521" s="122"/>
      <c r="L521" s="45"/>
      <c r="M521" s="153"/>
      <c r="N521" s="128"/>
      <c r="O521" s="129"/>
      <c r="P521" s="121"/>
      <c r="Q521" s="154"/>
    </row>
    <row r="522">
      <c r="A522" s="147"/>
      <c r="B522" s="131"/>
      <c r="C522" s="132"/>
      <c r="D522" s="119"/>
      <c r="E522" s="133"/>
      <c r="F522" s="132"/>
      <c r="G522" s="134"/>
      <c r="H522" s="132"/>
      <c r="I522" s="135"/>
      <c r="J522" s="148"/>
      <c r="K522" s="132"/>
      <c r="L522" s="16"/>
      <c r="M522" s="149"/>
      <c r="N522" s="137"/>
      <c r="O522" s="118"/>
      <c r="P522" s="131"/>
      <c r="Q522" s="150"/>
    </row>
    <row r="523">
      <c r="A523" s="151"/>
      <c r="B523" s="121"/>
      <c r="C523" s="122"/>
      <c r="D523" s="123"/>
      <c r="E523" s="124"/>
      <c r="F523" s="122"/>
      <c r="G523" s="125"/>
      <c r="H523" s="122"/>
      <c r="I523" s="126"/>
      <c r="J523" s="152"/>
      <c r="K523" s="122"/>
      <c r="L523" s="45"/>
      <c r="M523" s="153"/>
      <c r="N523" s="128"/>
      <c r="O523" s="129"/>
      <c r="P523" s="121"/>
      <c r="Q523" s="154"/>
    </row>
    <row r="524">
      <c r="A524" s="147"/>
      <c r="B524" s="131"/>
      <c r="C524" s="132"/>
      <c r="D524" s="119"/>
      <c r="E524" s="133"/>
      <c r="F524" s="132"/>
      <c r="G524" s="134"/>
      <c r="H524" s="132"/>
      <c r="I524" s="135"/>
      <c r="J524" s="148"/>
      <c r="K524" s="132"/>
      <c r="L524" s="16"/>
      <c r="M524" s="149"/>
      <c r="N524" s="137"/>
      <c r="O524" s="118"/>
      <c r="P524" s="131"/>
      <c r="Q524" s="150"/>
    </row>
    <row r="525">
      <c r="A525" s="151"/>
      <c r="B525" s="121"/>
      <c r="C525" s="122"/>
      <c r="D525" s="123"/>
      <c r="E525" s="124"/>
      <c r="F525" s="122"/>
      <c r="G525" s="125"/>
      <c r="H525" s="122"/>
      <c r="I525" s="126"/>
      <c r="J525" s="152"/>
      <c r="K525" s="122"/>
      <c r="L525" s="45"/>
      <c r="M525" s="153"/>
      <c r="N525" s="128"/>
      <c r="O525" s="129"/>
      <c r="P525" s="121"/>
      <c r="Q525" s="154"/>
    </row>
    <row r="526">
      <c r="A526" s="147"/>
      <c r="B526" s="131"/>
      <c r="C526" s="132"/>
      <c r="D526" s="119"/>
      <c r="E526" s="133"/>
      <c r="F526" s="132"/>
      <c r="G526" s="134"/>
      <c r="H526" s="132"/>
      <c r="I526" s="135"/>
      <c r="J526" s="148"/>
      <c r="K526" s="132"/>
      <c r="L526" s="16"/>
      <c r="M526" s="149"/>
      <c r="N526" s="137"/>
      <c r="O526" s="118"/>
      <c r="P526" s="131"/>
      <c r="Q526" s="150"/>
    </row>
    <row r="527">
      <c r="A527" s="151"/>
      <c r="B527" s="121"/>
      <c r="C527" s="122"/>
      <c r="D527" s="123"/>
      <c r="E527" s="124"/>
      <c r="F527" s="122"/>
      <c r="G527" s="125"/>
      <c r="H527" s="122"/>
      <c r="I527" s="126"/>
      <c r="J527" s="152"/>
      <c r="K527" s="122"/>
      <c r="L527" s="45"/>
      <c r="M527" s="153"/>
      <c r="N527" s="128"/>
      <c r="O527" s="129"/>
      <c r="P527" s="121"/>
      <c r="Q527" s="154"/>
    </row>
    <row r="528">
      <c r="A528" s="147"/>
      <c r="B528" s="131"/>
      <c r="C528" s="132"/>
      <c r="D528" s="119"/>
      <c r="E528" s="133"/>
      <c r="F528" s="132"/>
      <c r="G528" s="134"/>
      <c r="H528" s="132"/>
      <c r="I528" s="135"/>
      <c r="J528" s="148"/>
      <c r="K528" s="132"/>
      <c r="L528" s="16"/>
      <c r="M528" s="149"/>
      <c r="N528" s="137"/>
      <c r="O528" s="118"/>
      <c r="P528" s="131"/>
      <c r="Q528" s="150"/>
    </row>
    <row r="529">
      <c r="A529" s="151"/>
      <c r="B529" s="121"/>
      <c r="C529" s="122"/>
      <c r="D529" s="123"/>
      <c r="E529" s="124"/>
      <c r="F529" s="122"/>
      <c r="G529" s="125"/>
      <c r="H529" s="122"/>
      <c r="I529" s="126"/>
      <c r="J529" s="152"/>
      <c r="K529" s="122"/>
      <c r="L529" s="45"/>
      <c r="M529" s="153"/>
      <c r="N529" s="128"/>
      <c r="O529" s="129"/>
      <c r="P529" s="121"/>
      <c r="Q529" s="154"/>
    </row>
    <row r="530">
      <c r="A530" s="147"/>
      <c r="B530" s="131"/>
      <c r="C530" s="132"/>
      <c r="D530" s="119"/>
      <c r="E530" s="133"/>
      <c r="F530" s="132"/>
      <c r="G530" s="134"/>
      <c r="H530" s="132"/>
      <c r="I530" s="135"/>
      <c r="J530" s="148"/>
      <c r="K530" s="132"/>
      <c r="L530" s="16"/>
      <c r="M530" s="149"/>
      <c r="N530" s="137"/>
      <c r="O530" s="118"/>
      <c r="P530" s="131"/>
      <c r="Q530" s="150"/>
    </row>
    <row r="531">
      <c r="A531" s="151"/>
      <c r="B531" s="121"/>
      <c r="C531" s="122"/>
      <c r="D531" s="123"/>
      <c r="E531" s="124"/>
      <c r="F531" s="122"/>
      <c r="G531" s="125"/>
      <c r="H531" s="122"/>
      <c r="I531" s="126"/>
      <c r="J531" s="152"/>
      <c r="K531" s="122"/>
      <c r="L531" s="45"/>
      <c r="M531" s="153"/>
      <c r="N531" s="128"/>
      <c r="O531" s="129"/>
      <c r="P531" s="121"/>
      <c r="Q531" s="154"/>
    </row>
    <row r="532">
      <c r="A532" s="147"/>
      <c r="B532" s="131"/>
      <c r="C532" s="132"/>
      <c r="D532" s="119"/>
      <c r="E532" s="133"/>
      <c r="F532" s="132"/>
      <c r="G532" s="134"/>
      <c r="H532" s="132"/>
      <c r="I532" s="135"/>
      <c r="J532" s="148"/>
      <c r="K532" s="132"/>
      <c r="L532" s="16"/>
      <c r="M532" s="149"/>
      <c r="N532" s="137"/>
      <c r="O532" s="118"/>
      <c r="P532" s="131"/>
      <c r="Q532" s="150"/>
    </row>
    <row r="533">
      <c r="A533" s="151"/>
      <c r="B533" s="121"/>
      <c r="C533" s="122"/>
      <c r="D533" s="123"/>
      <c r="E533" s="124"/>
      <c r="F533" s="122"/>
      <c r="G533" s="125"/>
      <c r="H533" s="122"/>
      <c r="I533" s="126"/>
      <c r="J533" s="152"/>
      <c r="K533" s="122"/>
      <c r="L533" s="45"/>
      <c r="M533" s="153"/>
      <c r="N533" s="128"/>
      <c r="O533" s="129"/>
      <c r="P533" s="121"/>
      <c r="Q533" s="154"/>
    </row>
    <row r="534">
      <c r="A534" s="147"/>
      <c r="B534" s="131"/>
      <c r="C534" s="132"/>
      <c r="D534" s="119"/>
      <c r="E534" s="133"/>
      <c r="F534" s="132"/>
      <c r="G534" s="134"/>
      <c r="H534" s="132"/>
      <c r="I534" s="135"/>
      <c r="J534" s="148"/>
      <c r="K534" s="132"/>
      <c r="L534" s="16"/>
      <c r="M534" s="149"/>
      <c r="N534" s="137"/>
      <c r="O534" s="118"/>
      <c r="P534" s="131"/>
      <c r="Q534" s="150"/>
    </row>
    <row r="535">
      <c r="A535" s="151"/>
      <c r="B535" s="121"/>
      <c r="C535" s="122"/>
      <c r="D535" s="123"/>
      <c r="E535" s="124"/>
      <c r="F535" s="122"/>
      <c r="G535" s="125"/>
      <c r="H535" s="122"/>
      <c r="I535" s="126"/>
      <c r="J535" s="152"/>
      <c r="K535" s="122"/>
      <c r="L535" s="45"/>
      <c r="M535" s="153"/>
      <c r="N535" s="128"/>
      <c r="O535" s="129"/>
      <c r="P535" s="121"/>
      <c r="Q535" s="154"/>
    </row>
    <row r="536">
      <c r="A536" s="147"/>
      <c r="B536" s="131"/>
      <c r="C536" s="132"/>
      <c r="D536" s="119"/>
      <c r="E536" s="133"/>
      <c r="F536" s="132"/>
      <c r="G536" s="134"/>
      <c r="H536" s="132"/>
      <c r="I536" s="135"/>
      <c r="J536" s="148"/>
      <c r="K536" s="132"/>
      <c r="L536" s="16"/>
      <c r="M536" s="149"/>
      <c r="N536" s="137"/>
      <c r="O536" s="118"/>
      <c r="P536" s="131"/>
      <c r="Q536" s="150"/>
    </row>
    <row r="537">
      <c r="A537" s="151"/>
      <c r="B537" s="121"/>
      <c r="C537" s="122"/>
      <c r="D537" s="123"/>
      <c r="E537" s="124"/>
      <c r="F537" s="122"/>
      <c r="G537" s="125"/>
      <c r="H537" s="122"/>
      <c r="I537" s="126"/>
      <c r="J537" s="152"/>
      <c r="K537" s="122"/>
      <c r="L537" s="45"/>
      <c r="M537" s="153"/>
      <c r="N537" s="128"/>
      <c r="O537" s="129"/>
      <c r="P537" s="121"/>
      <c r="Q537" s="154"/>
    </row>
    <row r="538">
      <c r="A538" s="147"/>
      <c r="B538" s="131"/>
      <c r="C538" s="132"/>
      <c r="D538" s="119"/>
      <c r="E538" s="133"/>
      <c r="F538" s="132"/>
      <c r="G538" s="134"/>
      <c r="H538" s="132"/>
      <c r="I538" s="135"/>
      <c r="J538" s="148"/>
      <c r="K538" s="132"/>
      <c r="L538" s="16"/>
      <c r="M538" s="149"/>
      <c r="N538" s="137"/>
      <c r="O538" s="118"/>
      <c r="P538" s="131"/>
      <c r="Q538" s="150"/>
    </row>
    <row r="539">
      <c r="A539" s="151"/>
      <c r="B539" s="121"/>
      <c r="C539" s="122"/>
      <c r="D539" s="123"/>
      <c r="E539" s="124"/>
      <c r="F539" s="122"/>
      <c r="G539" s="125"/>
      <c r="H539" s="122"/>
      <c r="I539" s="126"/>
      <c r="J539" s="152"/>
      <c r="K539" s="122"/>
      <c r="L539" s="45"/>
      <c r="M539" s="153"/>
      <c r="N539" s="128"/>
      <c r="O539" s="129"/>
      <c r="P539" s="121"/>
      <c r="Q539" s="154"/>
    </row>
    <row r="540">
      <c r="A540" s="147"/>
      <c r="B540" s="131"/>
      <c r="C540" s="132"/>
      <c r="D540" s="119"/>
      <c r="E540" s="133"/>
      <c r="F540" s="132"/>
      <c r="G540" s="134"/>
      <c r="H540" s="132"/>
      <c r="I540" s="135"/>
      <c r="J540" s="148"/>
      <c r="K540" s="132"/>
      <c r="L540" s="16"/>
      <c r="M540" s="149"/>
      <c r="N540" s="137"/>
      <c r="O540" s="118"/>
      <c r="P540" s="131"/>
      <c r="Q540" s="150"/>
    </row>
    <row r="541">
      <c r="A541" s="151"/>
      <c r="B541" s="121"/>
      <c r="C541" s="122"/>
      <c r="D541" s="123"/>
      <c r="E541" s="124"/>
      <c r="F541" s="122"/>
      <c r="G541" s="125"/>
      <c r="H541" s="122"/>
      <c r="I541" s="126"/>
      <c r="J541" s="152"/>
      <c r="K541" s="122"/>
      <c r="L541" s="45"/>
      <c r="M541" s="153"/>
      <c r="N541" s="128"/>
      <c r="O541" s="129"/>
      <c r="P541" s="121"/>
      <c r="Q541" s="154"/>
    </row>
    <row r="542">
      <c r="A542" s="147"/>
      <c r="B542" s="131"/>
      <c r="C542" s="132"/>
      <c r="D542" s="119"/>
      <c r="E542" s="133"/>
      <c r="F542" s="132"/>
      <c r="G542" s="134"/>
      <c r="H542" s="132"/>
      <c r="I542" s="135"/>
      <c r="J542" s="148"/>
      <c r="K542" s="132"/>
      <c r="L542" s="16"/>
      <c r="M542" s="149"/>
      <c r="N542" s="137"/>
      <c r="O542" s="118"/>
      <c r="P542" s="131"/>
      <c r="Q542" s="150"/>
    </row>
    <row r="543">
      <c r="A543" s="151"/>
      <c r="B543" s="121"/>
      <c r="C543" s="122"/>
      <c r="D543" s="123"/>
      <c r="E543" s="124"/>
      <c r="F543" s="122"/>
      <c r="G543" s="125"/>
      <c r="H543" s="122"/>
      <c r="I543" s="126"/>
      <c r="J543" s="152"/>
      <c r="K543" s="122"/>
      <c r="L543" s="45"/>
      <c r="M543" s="153"/>
      <c r="N543" s="128"/>
      <c r="O543" s="129"/>
      <c r="P543" s="121"/>
      <c r="Q543" s="154"/>
    </row>
    <row r="544">
      <c r="A544" s="147"/>
      <c r="B544" s="131"/>
      <c r="C544" s="132"/>
      <c r="D544" s="119"/>
      <c r="E544" s="133"/>
      <c r="F544" s="132"/>
      <c r="G544" s="134"/>
      <c r="H544" s="132"/>
      <c r="I544" s="135"/>
      <c r="J544" s="148"/>
      <c r="K544" s="132"/>
      <c r="L544" s="16"/>
      <c r="M544" s="149"/>
      <c r="N544" s="137"/>
      <c r="O544" s="118"/>
      <c r="P544" s="131"/>
      <c r="Q544" s="150"/>
    </row>
    <row r="545">
      <c r="A545" s="151"/>
      <c r="B545" s="121"/>
      <c r="C545" s="122"/>
      <c r="D545" s="123"/>
      <c r="E545" s="124"/>
      <c r="F545" s="122"/>
      <c r="G545" s="125"/>
      <c r="H545" s="122"/>
      <c r="I545" s="126"/>
      <c r="J545" s="152"/>
      <c r="K545" s="122"/>
      <c r="L545" s="45"/>
      <c r="M545" s="153"/>
      <c r="N545" s="128"/>
      <c r="O545" s="129"/>
      <c r="P545" s="121"/>
      <c r="Q545" s="154"/>
    </row>
    <row r="546">
      <c r="A546" s="147"/>
      <c r="B546" s="131"/>
      <c r="C546" s="132"/>
      <c r="D546" s="119"/>
      <c r="E546" s="133"/>
      <c r="F546" s="132"/>
      <c r="G546" s="134"/>
      <c r="H546" s="132"/>
      <c r="I546" s="135"/>
      <c r="J546" s="148"/>
      <c r="K546" s="132"/>
      <c r="L546" s="16"/>
      <c r="M546" s="149"/>
      <c r="N546" s="137"/>
      <c r="O546" s="118"/>
      <c r="P546" s="131"/>
      <c r="Q546" s="150"/>
    </row>
    <row r="547">
      <c r="A547" s="151"/>
      <c r="B547" s="121"/>
      <c r="C547" s="122"/>
      <c r="D547" s="123"/>
      <c r="E547" s="124"/>
      <c r="F547" s="122"/>
      <c r="G547" s="125"/>
      <c r="H547" s="122"/>
      <c r="I547" s="126"/>
      <c r="J547" s="152"/>
      <c r="K547" s="122"/>
      <c r="L547" s="45"/>
      <c r="M547" s="153"/>
      <c r="N547" s="128"/>
      <c r="O547" s="129"/>
      <c r="P547" s="121"/>
      <c r="Q547" s="154"/>
    </row>
    <row r="548">
      <c r="A548" s="147"/>
      <c r="B548" s="131"/>
      <c r="C548" s="132"/>
      <c r="D548" s="119"/>
      <c r="E548" s="133"/>
      <c r="F548" s="132"/>
      <c r="G548" s="134"/>
      <c r="H548" s="132"/>
      <c r="I548" s="135"/>
      <c r="J548" s="148"/>
      <c r="K548" s="132"/>
      <c r="L548" s="16"/>
      <c r="M548" s="149"/>
      <c r="N548" s="137"/>
      <c r="O548" s="118"/>
      <c r="P548" s="131"/>
      <c r="Q548" s="150"/>
    </row>
    <row r="549">
      <c r="A549" s="151"/>
      <c r="B549" s="121"/>
      <c r="C549" s="122"/>
      <c r="D549" s="123"/>
      <c r="E549" s="124"/>
      <c r="F549" s="122"/>
      <c r="G549" s="125"/>
      <c r="H549" s="122"/>
      <c r="I549" s="126"/>
      <c r="J549" s="152"/>
      <c r="K549" s="122"/>
      <c r="L549" s="45"/>
      <c r="M549" s="153"/>
      <c r="N549" s="128"/>
      <c r="O549" s="129"/>
      <c r="P549" s="121"/>
      <c r="Q549" s="154"/>
    </row>
    <row r="550">
      <c r="A550" s="147"/>
      <c r="B550" s="131"/>
      <c r="C550" s="132"/>
      <c r="D550" s="119"/>
      <c r="E550" s="133"/>
      <c r="F550" s="132"/>
      <c r="G550" s="134"/>
      <c r="H550" s="132"/>
      <c r="I550" s="135"/>
      <c r="J550" s="148"/>
      <c r="K550" s="132"/>
      <c r="L550" s="16"/>
      <c r="M550" s="149"/>
      <c r="N550" s="137"/>
      <c r="O550" s="118"/>
      <c r="P550" s="131"/>
      <c r="Q550" s="150"/>
    </row>
    <row r="551">
      <c r="A551" s="151"/>
      <c r="B551" s="121"/>
      <c r="C551" s="122"/>
      <c r="D551" s="123"/>
      <c r="E551" s="124"/>
      <c r="F551" s="122"/>
      <c r="G551" s="125"/>
      <c r="H551" s="122"/>
      <c r="I551" s="126"/>
      <c r="J551" s="152"/>
      <c r="K551" s="122"/>
      <c r="L551" s="45"/>
      <c r="M551" s="153"/>
      <c r="N551" s="128"/>
      <c r="O551" s="129"/>
      <c r="P551" s="121"/>
      <c r="Q551" s="154"/>
    </row>
    <row r="552">
      <c r="A552" s="147"/>
      <c r="B552" s="131"/>
      <c r="C552" s="132"/>
      <c r="D552" s="119"/>
      <c r="E552" s="133"/>
      <c r="F552" s="132"/>
      <c r="G552" s="134"/>
      <c r="H552" s="132"/>
      <c r="I552" s="135"/>
      <c r="J552" s="148"/>
      <c r="K552" s="132"/>
      <c r="L552" s="16"/>
      <c r="M552" s="149"/>
      <c r="N552" s="137"/>
      <c r="O552" s="118"/>
      <c r="P552" s="131"/>
      <c r="Q552" s="150"/>
    </row>
    <row r="553">
      <c r="A553" s="151"/>
      <c r="B553" s="121"/>
      <c r="C553" s="122"/>
      <c r="D553" s="123"/>
      <c r="E553" s="124"/>
      <c r="F553" s="122"/>
      <c r="G553" s="125"/>
      <c r="H553" s="122"/>
      <c r="I553" s="126"/>
      <c r="J553" s="152"/>
      <c r="K553" s="122"/>
      <c r="L553" s="45"/>
      <c r="M553" s="153"/>
      <c r="N553" s="128"/>
      <c r="O553" s="129"/>
      <c r="P553" s="121"/>
      <c r="Q553" s="154"/>
    </row>
    <row r="554">
      <c r="A554" s="147"/>
      <c r="B554" s="131"/>
      <c r="C554" s="132"/>
      <c r="D554" s="119"/>
      <c r="E554" s="133"/>
      <c r="F554" s="132"/>
      <c r="G554" s="134"/>
      <c r="H554" s="132"/>
      <c r="I554" s="135"/>
      <c r="J554" s="148"/>
      <c r="K554" s="132"/>
      <c r="L554" s="16"/>
      <c r="M554" s="149"/>
      <c r="N554" s="137"/>
      <c r="O554" s="118"/>
      <c r="P554" s="131"/>
      <c r="Q554" s="150"/>
    </row>
    <row r="555">
      <c r="A555" s="151"/>
      <c r="B555" s="121"/>
      <c r="C555" s="122"/>
      <c r="D555" s="123"/>
      <c r="E555" s="124"/>
      <c r="F555" s="122"/>
      <c r="G555" s="125"/>
      <c r="H555" s="122"/>
      <c r="I555" s="126"/>
      <c r="J555" s="152"/>
      <c r="K555" s="122"/>
      <c r="L555" s="45"/>
      <c r="M555" s="153"/>
      <c r="N555" s="128"/>
      <c r="O555" s="129"/>
      <c r="P555" s="121"/>
      <c r="Q555" s="154"/>
    </row>
    <row r="556">
      <c r="A556" s="147"/>
      <c r="B556" s="131"/>
      <c r="C556" s="132"/>
      <c r="D556" s="119"/>
      <c r="E556" s="133"/>
      <c r="F556" s="132"/>
      <c r="G556" s="134"/>
      <c r="H556" s="132"/>
      <c r="I556" s="135"/>
      <c r="J556" s="148"/>
      <c r="K556" s="132"/>
      <c r="L556" s="16"/>
      <c r="M556" s="149"/>
      <c r="N556" s="137"/>
      <c r="O556" s="118"/>
      <c r="P556" s="131"/>
      <c r="Q556" s="150"/>
    </row>
    <row r="557">
      <c r="A557" s="151"/>
      <c r="B557" s="121"/>
      <c r="C557" s="122"/>
      <c r="D557" s="123"/>
      <c r="E557" s="124"/>
      <c r="F557" s="122"/>
      <c r="G557" s="125"/>
      <c r="H557" s="122"/>
      <c r="I557" s="126"/>
      <c r="J557" s="152"/>
      <c r="K557" s="122"/>
      <c r="L557" s="45"/>
      <c r="M557" s="153"/>
      <c r="N557" s="128"/>
      <c r="O557" s="129"/>
      <c r="P557" s="121"/>
      <c r="Q557" s="154"/>
    </row>
    <row r="558">
      <c r="A558" s="147"/>
      <c r="B558" s="131"/>
      <c r="C558" s="132"/>
      <c r="D558" s="119"/>
      <c r="E558" s="133"/>
      <c r="F558" s="132"/>
      <c r="G558" s="134"/>
      <c r="H558" s="132"/>
      <c r="I558" s="135"/>
      <c r="J558" s="148"/>
      <c r="K558" s="132"/>
      <c r="L558" s="16"/>
      <c r="M558" s="149"/>
      <c r="N558" s="137"/>
      <c r="O558" s="118"/>
      <c r="P558" s="131"/>
      <c r="Q558" s="150"/>
    </row>
    <row r="559">
      <c r="A559" s="151"/>
      <c r="B559" s="121"/>
      <c r="C559" s="122"/>
      <c r="D559" s="123"/>
      <c r="E559" s="124"/>
      <c r="F559" s="122"/>
      <c r="G559" s="125"/>
      <c r="H559" s="122"/>
      <c r="I559" s="126"/>
      <c r="J559" s="152"/>
      <c r="K559" s="122"/>
      <c r="L559" s="45"/>
      <c r="M559" s="153"/>
      <c r="N559" s="128"/>
      <c r="O559" s="129"/>
      <c r="P559" s="121"/>
      <c r="Q559" s="154"/>
    </row>
    <row r="560">
      <c r="A560" s="147"/>
      <c r="B560" s="131"/>
      <c r="C560" s="132"/>
      <c r="D560" s="119"/>
      <c r="E560" s="133"/>
      <c r="F560" s="132"/>
      <c r="G560" s="134"/>
      <c r="H560" s="132"/>
      <c r="I560" s="135"/>
      <c r="J560" s="148"/>
      <c r="K560" s="132"/>
      <c r="L560" s="16"/>
      <c r="M560" s="149"/>
      <c r="N560" s="137"/>
      <c r="O560" s="118"/>
      <c r="P560" s="131"/>
      <c r="Q560" s="150"/>
    </row>
    <row r="561">
      <c r="A561" s="151"/>
      <c r="B561" s="121"/>
      <c r="C561" s="122"/>
      <c r="D561" s="123"/>
      <c r="E561" s="124"/>
      <c r="F561" s="122"/>
      <c r="G561" s="125"/>
      <c r="H561" s="122"/>
      <c r="I561" s="126"/>
      <c r="J561" s="152"/>
      <c r="K561" s="122"/>
      <c r="L561" s="45"/>
      <c r="M561" s="153"/>
      <c r="N561" s="128"/>
      <c r="O561" s="129"/>
      <c r="P561" s="121"/>
      <c r="Q561" s="154"/>
    </row>
    <row r="562">
      <c r="A562" s="147"/>
      <c r="B562" s="131"/>
      <c r="C562" s="132"/>
      <c r="D562" s="119"/>
      <c r="E562" s="133"/>
      <c r="F562" s="132"/>
      <c r="G562" s="134"/>
      <c r="H562" s="132"/>
      <c r="I562" s="135"/>
      <c r="J562" s="148"/>
      <c r="K562" s="132"/>
      <c r="L562" s="16"/>
      <c r="M562" s="149"/>
      <c r="N562" s="137"/>
      <c r="O562" s="118"/>
      <c r="P562" s="131"/>
      <c r="Q562" s="150"/>
    </row>
    <row r="563">
      <c r="A563" s="151"/>
      <c r="B563" s="121"/>
      <c r="C563" s="122"/>
      <c r="D563" s="123"/>
      <c r="E563" s="124"/>
      <c r="F563" s="122"/>
      <c r="G563" s="125"/>
      <c r="H563" s="122"/>
      <c r="I563" s="126"/>
      <c r="J563" s="152"/>
      <c r="K563" s="122"/>
      <c r="L563" s="45"/>
      <c r="M563" s="153"/>
      <c r="N563" s="128"/>
      <c r="O563" s="129"/>
      <c r="P563" s="121"/>
      <c r="Q563" s="154"/>
    </row>
    <row r="564">
      <c r="A564" s="147"/>
      <c r="B564" s="131"/>
      <c r="C564" s="132"/>
      <c r="D564" s="119"/>
      <c r="E564" s="133"/>
      <c r="F564" s="132"/>
      <c r="G564" s="134"/>
      <c r="H564" s="132"/>
      <c r="I564" s="135"/>
      <c r="J564" s="148"/>
      <c r="K564" s="132"/>
      <c r="L564" s="16"/>
      <c r="M564" s="149"/>
      <c r="N564" s="137"/>
      <c r="O564" s="118"/>
      <c r="P564" s="131"/>
      <c r="Q564" s="150"/>
    </row>
    <row r="565">
      <c r="A565" s="151"/>
      <c r="B565" s="121"/>
      <c r="C565" s="122"/>
      <c r="D565" s="123"/>
      <c r="E565" s="124"/>
      <c r="F565" s="122"/>
      <c r="G565" s="125"/>
      <c r="H565" s="122"/>
      <c r="I565" s="126"/>
      <c r="J565" s="152"/>
      <c r="K565" s="122"/>
      <c r="L565" s="45"/>
      <c r="M565" s="153"/>
      <c r="N565" s="128"/>
      <c r="O565" s="129"/>
      <c r="P565" s="121"/>
      <c r="Q565" s="154"/>
    </row>
    <row r="566">
      <c r="A566" s="147"/>
      <c r="B566" s="131"/>
      <c r="C566" s="132"/>
      <c r="D566" s="119"/>
      <c r="E566" s="133"/>
      <c r="F566" s="132"/>
      <c r="G566" s="134"/>
      <c r="H566" s="132"/>
      <c r="I566" s="135"/>
      <c r="J566" s="148"/>
      <c r="K566" s="132"/>
      <c r="L566" s="16"/>
      <c r="M566" s="149"/>
      <c r="N566" s="137"/>
      <c r="O566" s="118"/>
      <c r="P566" s="131"/>
      <c r="Q566" s="150"/>
    </row>
    <row r="567">
      <c r="A567" s="151"/>
      <c r="B567" s="121"/>
      <c r="C567" s="122"/>
      <c r="D567" s="123"/>
      <c r="E567" s="124"/>
      <c r="F567" s="122"/>
      <c r="G567" s="125"/>
      <c r="H567" s="122"/>
      <c r="I567" s="126"/>
      <c r="J567" s="152"/>
      <c r="K567" s="122"/>
      <c r="L567" s="45"/>
      <c r="M567" s="153"/>
      <c r="N567" s="128"/>
      <c r="O567" s="129"/>
      <c r="P567" s="121"/>
      <c r="Q567" s="154"/>
    </row>
    <row r="568">
      <c r="A568" s="147"/>
      <c r="B568" s="131"/>
      <c r="C568" s="132"/>
      <c r="D568" s="119"/>
      <c r="E568" s="133"/>
      <c r="F568" s="132"/>
      <c r="G568" s="134"/>
      <c r="H568" s="132"/>
      <c r="I568" s="135"/>
      <c r="J568" s="148"/>
      <c r="K568" s="132"/>
      <c r="L568" s="16"/>
      <c r="M568" s="149"/>
      <c r="N568" s="137"/>
      <c r="O568" s="118"/>
      <c r="P568" s="131"/>
      <c r="Q568" s="150"/>
    </row>
    <row r="569">
      <c r="A569" s="151"/>
      <c r="B569" s="121"/>
      <c r="C569" s="122"/>
      <c r="D569" s="123"/>
      <c r="E569" s="124"/>
      <c r="F569" s="122"/>
      <c r="G569" s="125"/>
      <c r="H569" s="122"/>
      <c r="I569" s="126"/>
      <c r="J569" s="152"/>
      <c r="K569" s="122"/>
      <c r="L569" s="45"/>
      <c r="M569" s="153"/>
      <c r="N569" s="128"/>
      <c r="O569" s="129"/>
      <c r="P569" s="121"/>
      <c r="Q569" s="154"/>
    </row>
    <row r="570">
      <c r="A570" s="147"/>
      <c r="B570" s="131"/>
      <c r="C570" s="132"/>
      <c r="D570" s="119"/>
      <c r="E570" s="133"/>
      <c r="F570" s="132"/>
      <c r="G570" s="134"/>
      <c r="H570" s="132"/>
      <c r="I570" s="135"/>
      <c r="J570" s="148"/>
      <c r="K570" s="132"/>
      <c r="L570" s="16"/>
      <c r="M570" s="149"/>
      <c r="N570" s="137"/>
      <c r="O570" s="118"/>
      <c r="P570" s="131"/>
      <c r="Q570" s="150"/>
    </row>
    <row r="571">
      <c r="A571" s="151"/>
      <c r="B571" s="121"/>
      <c r="C571" s="122"/>
      <c r="D571" s="123"/>
      <c r="E571" s="124"/>
      <c r="F571" s="122"/>
      <c r="G571" s="125"/>
      <c r="H571" s="122"/>
      <c r="I571" s="126"/>
      <c r="J571" s="152"/>
      <c r="K571" s="122"/>
      <c r="L571" s="45"/>
      <c r="M571" s="153"/>
      <c r="N571" s="128"/>
      <c r="O571" s="129"/>
      <c r="P571" s="121"/>
      <c r="Q571" s="154"/>
    </row>
    <row r="572">
      <c r="A572" s="147"/>
      <c r="B572" s="131"/>
      <c r="C572" s="132"/>
      <c r="D572" s="119"/>
      <c r="E572" s="133"/>
      <c r="F572" s="132"/>
      <c r="G572" s="134"/>
      <c r="H572" s="132"/>
      <c r="I572" s="135"/>
      <c r="J572" s="148"/>
      <c r="K572" s="132"/>
      <c r="L572" s="16"/>
      <c r="M572" s="149"/>
      <c r="N572" s="137"/>
      <c r="O572" s="118"/>
      <c r="P572" s="131"/>
      <c r="Q572" s="150"/>
    </row>
    <row r="573">
      <c r="A573" s="151"/>
      <c r="B573" s="121"/>
      <c r="C573" s="122"/>
      <c r="D573" s="123"/>
      <c r="E573" s="124"/>
      <c r="F573" s="122"/>
      <c r="G573" s="125"/>
      <c r="H573" s="122"/>
      <c r="I573" s="126"/>
      <c r="J573" s="152"/>
      <c r="K573" s="122"/>
      <c r="L573" s="45"/>
      <c r="M573" s="153"/>
      <c r="N573" s="128"/>
      <c r="O573" s="129"/>
      <c r="P573" s="121"/>
      <c r="Q573" s="154"/>
    </row>
    <row r="574">
      <c r="A574" s="147"/>
      <c r="B574" s="131"/>
      <c r="C574" s="132"/>
      <c r="D574" s="119"/>
      <c r="E574" s="133"/>
      <c r="F574" s="132"/>
      <c r="G574" s="134"/>
      <c r="H574" s="132"/>
      <c r="I574" s="135"/>
      <c r="J574" s="148"/>
      <c r="K574" s="132"/>
      <c r="L574" s="16"/>
      <c r="M574" s="149"/>
      <c r="N574" s="137"/>
      <c r="O574" s="118"/>
      <c r="P574" s="131"/>
      <c r="Q574" s="150"/>
    </row>
    <row r="575">
      <c r="A575" s="151"/>
      <c r="B575" s="121"/>
      <c r="C575" s="122"/>
      <c r="D575" s="123"/>
      <c r="E575" s="124"/>
      <c r="F575" s="122"/>
      <c r="G575" s="125"/>
      <c r="H575" s="122"/>
      <c r="I575" s="126"/>
      <c r="J575" s="152"/>
      <c r="K575" s="122"/>
      <c r="L575" s="45"/>
      <c r="M575" s="153"/>
      <c r="N575" s="128"/>
      <c r="O575" s="129"/>
      <c r="P575" s="121"/>
      <c r="Q575" s="154"/>
    </row>
    <row r="576">
      <c r="A576" s="147"/>
      <c r="B576" s="131"/>
      <c r="C576" s="132"/>
      <c r="D576" s="119"/>
      <c r="E576" s="133"/>
      <c r="F576" s="132"/>
      <c r="G576" s="134"/>
      <c r="H576" s="132"/>
      <c r="I576" s="135"/>
      <c r="J576" s="148"/>
      <c r="K576" s="132"/>
      <c r="L576" s="16"/>
      <c r="M576" s="149"/>
      <c r="N576" s="137"/>
      <c r="O576" s="118"/>
      <c r="P576" s="131"/>
      <c r="Q576" s="150"/>
    </row>
    <row r="577">
      <c r="A577" s="151"/>
      <c r="B577" s="121"/>
      <c r="C577" s="122"/>
      <c r="D577" s="123"/>
      <c r="E577" s="124"/>
      <c r="F577" s="122"/>
      <c r="G577" s="125"/>
      <c r="H577" s="122"/>
      <c r="I577" s="126"/>
      <c r="J577" s="152"/>
      <c r="K577" s="122"/>
      <c r="L577" s="45"/>
      <c r="M577" s="153"/>
      <c r="N577" s="128"/>
      <c r="O577" s="129"/>
      <c r="P577" s="121"/>
      <c r="Q577" s="154"/>
    </row>
    <row r="578">
      <c r="A578" s="147"/>
      <c r="B578" s="131"/>
      <c r="C578" s="132"/>
      <c r="D578" s="119"/>
      <c r="E578" s="133"/>
      <c r="F578" s="132"/>
      <c r="G578" s="134"/>
      <c r="H578" s="132"/>
      <c r="I578" s="135"/>
      <c r="J578" s="148"/>
      <c r="K578" s="132"/>
      <c r="L578" s="16"/>
      <c r="M578" s="149"/>
      <c r="N578" s="137"/>
      <c r="O578" s="118"/>
      <c r="P578" s="131"/>
      <c r="Q578" s="150"/>
    </row>
    <row r="579">
      <c r="A579" s="151"/>
      <c r="B579" s="121"/>
      <c r="C579" s="122"/>
      <c r="D579" s="123"/>
      <c r="E579" s="124"/>
      <c r="F579" s="122"/>
      <c r="G579" s="125"/>
      <c r="H579" s="122"/>
      <c r="I579" s="126"/>
      <c r="J579" s="152"/>
      <c r="K579" s="122"/>
      <c r="L579" s="45"/>
      <c r="M579" s="153"/>
      <c r="N579" s="128"/>
      <c r="O579" s="129"/>
      <c r="P579" s="121"/>
      <c r="Q579" s="154"/>
    </row>
    <row r="580">
      <c r="A580" s="147"/>
      <c r="B580" s="131"/>
      <c r="C580" s="132"/>
      <c r="D580" s="119"/>
      <c r="E580" s="133"/>
      <c r="F580" s="132"/>
      <c r="G580" s="134"/>
      <c r="H580" s="132"/>
      <c r="I580" s="135"/>
      <c r="J580" s="148"/>
      <c r="K580" s="132"/>
      <c r="L580" s="16"/>
      <c r="M580" s="149"/>
      <c r="N580" s="137"/>
      <c r="O580" s="118"/>
      <c r="P580" s="131"/>
      <c r="Q580" s="150"/>
    </row>
    <row r="581">
      <c r="A581" s="151"/>
      <c r="B581" s="121"/>
      <c r="C581" s="122"/>
      <c r="D581" s="123"/>
      <c r="E581" s="124"/>
      <c r="F581" s="122"/>
      <c r="G581" s="125"/>
      <c r="H581" s="122"/>
      <c r="I581" s="126"/>
      <c r="J581" s="152"/>
      <c r="K581" s="122"/>
      <c r="L581" s="45"/>
      <c r="M581" s="153"/>
      <c r="N581" s="128"/>
      <c r="O581" s="129"/>
      <c r="P581" s="121"/>
      <c r="Q581" s="154"/>
    </row>
    <row r="582">
      <c r="A582" s="147"/>
      <c r="B582" s="131"/>
      <c r="C582" s="132"/>
      <c r="D582" s="119"/>
      <c r="E582" s="133"/>
      <c r="F582" s="132"/>
      <c r="G582" s="134"/>
      <c r="H582" s="132"/>
      <c r="I582" s="135"/>
      <c r="J582" s="148"/>
      <c r="K582" s="132"/>
      <c r="L582" s="16"/>
      <c r="M582" s="149"/>
      <c r="N582" s="137"/>
      <c r="O582" s="118"/>
      <c r="P582" s="131"/>
      <c r="Q582" s="150"/>
    </row>
    <row r="583">
      <c r="A583" s="151"/>
      <c r="B583" s="121"/>
      <c r="C583" s="122"/>
      <c r="D583" s="123"/>
      <c r="E583" s="124"/>
      <c r="F583" s="122"/>
      <c r="G583" s="125"/>
      <c r="H583" s="122"/>
      <c r="I583" s="126"/>
      <c r="J583" s="152"/>
      <c r="K583" s="122"/>
      <c r="L583" s="45"/>
      <c r="M583" s="153"/>
      <c r="N583" s="128"/>
      <c r="O583" s="129"/>
      <c r="P583" s="121"/>
      <c r="Q583" s="154"/>
    </row>
    <row r="584">
      <c r="A584" s="147"/>
      <c r="B584" s="131"/>
      <c r="C584" s="132"/>
      <c r="D584" s="119"/>
      <c r="E584" s="133"/>
      <c r="F584" s="132"/>
      <c r="G584" s="134"/>
      <c r="H584" s="132"/>
      <c r="I584" s="135"/>
      <c r="J584" s="148"/>
      <c r="K584" s="132"/>
      <c r="L584" s="16"/>
      <c r="M584" s="149"/>
      <c r="N584" s="137"/>
      <c r="O584" s="118"/>
      <c r="P584" s="131"/>
      <c r="Q584" s="150"/>
    </row>
    <row r="585">
      <c r="A585" s="151"/>
      <c r="B585" s="121"/>
      <c r="C585" s="122"/>
      <c r="D585" s="123"/>
      <c r="E585" s="124"/>
      <c r="F585" s="122"/>
      <c r="G585" s="125"/>
      <c r="H585" s="122"/>
      <c r="I585" s="126"/>
      <c r="J585" s="152"/>
      <c r="K585" s="122"/>
      <c r="L585" s="45"/>
      <c r="M585" s="153"/>
      <c r="N585" s="128"/>
      <c r="O585" s="129"/>
      <c r="P585" s="121"/>
      <c r="Q585" s="154"/>
    </row>
    <row r="586">
      <c r="A586" s="147"/>
      <c r="B586" s="131"/>
      <c r="C586" s="132"/>
      <c r="D586" s="119"/>
      <c r="E586" s="133"/>
      <c r="F586" s="132"/>
      <c r="G586" s="134"/>
      <c r="H586" s="132"/>
      <c r="I586" s="135"/>
      <c r="J586" s="148"/>
      <c r="K586" s="132"/>
      <c r="L586" s="16"/>
      <c r="M586" s="149"/>
      <c r="N586" s="137"/>
      <c r="O586" s="118"/>
      <c r="P586" s="131"/>
      <c r="Q586" s="150"/>
    </row>
    <row r="587">
      <c r="A587" s="151"/>
      <c r="B587" s="121"/>
      <c r="C587" s="122"/>
      <c r="D587" s="123"/>
      <c r="E587" s="124"/>
      <c r="F587" s="122"/>
      <c r="G587" s="125"/>
      <c r="H587" s="122"/>
      <c r="I587" s="126"/>
      <c r="J587" s="152"/>
      <c r="K587" s="122"/>
      <c r="L587" s="45"/>
      <c r="M587" s="153"/>
      <c r="N587" s="128"/>
      <c r="O587" s="129"/>
      <c r="P587" s="121"/>
      <c r="Q587" s="154"/>
    </row>
    <row r="588">
      <c r="A588" s="147"/>
      <c r="B588" s="131"/>
      <c r="C588" s="132"/>
      <c r="D588" s="119"/>
      <c r="E588" s="133"/>
      <c r="F588" s="132"/>
      <c r="G588" s="134"/>
      <c r="H588" s="132"/>
      <c r="I588" s="135"/>
      <c r="J588" s="148"/>
      <c r="K588" s="132"/>
      <c r="L588" s="16"/>
      <c r="M588" s="149"/>
      <c r="N588" s="137"/>
      <c r="O588" s="118"/>
      <c r="P588" s="131"/>
      <c r="Q588" s="150"/>
    </row>
    <row r="589">
      <c r="A589" s="151"/>
      <c r="B589" s="121"/>
      <c r="C589" s="122"/>
      <c r="D589" s="123"/>
      <c r="E589" s="124"/>
      <c r="F589" s="122"/>
      <c r="G589" s="125"/>
      <c r="H589" s="122"/>
      <c r="I589" s="126"/>
      <c r="J589" s="152"/>
      <c r="K589" s="122"/>
      <c r="L589" s="45"/>
      <c r="M589" s="153"/>
      <c r="N589" s="128"/>
      <c r="O589" s="129"/>
      <c r="P589" s="121"/>
      <c r="Q589" s="154"/>
    </row>
    <row r="590">
      <c r="A590" s="147"/>
      <c r="B590" s="131"/>
      <c r="C590" s="132"/>
      <c r="D590" s="119"/>
      <c r="E590" s="133"/>
      <c r="F590" s="132"/>
      <c r="G590" s="134"/>
      <c r="H590" s="132"/>
      <c r="I590" s="135"/>
      <c r="J590" s="148"/>
      <c r="K590" s="132"/>
      <c r="L590" s="16"/>
      <c r="M590" s="149"/>
      <c r="N590" s="137"/>
      <c r="O590" s="118"/>
      <c r="P590" s="131"/>
      <c r="Q590" s="150"/>
    </row>
    <row r="591">
      <c r="A591" s="151"/>
      <c r="B591" s="121"/>
      <c r="C591" s="122"/>
      <c r="D591" s="123"/>
      <c r="E591" s="124"/>
      <c r="F591" s="122"/>
      <c r="G591" s="125"/>
      <c r="H591" s="122"/>
      <c r="I591" s="126"/>
      <c r="J591" s="152"/>
      <c r="K591" s="122"/>
      <c r="L591" s="45"/>
      <c r="M591" s="153"/>
      <c r="N591" s="128"/>
      <c r="O591" s="129"/>
      <c r="P591" s="121"/>
      <c r="Q591" s="154"/>
    </row>
    <row r="592">
      <c r="A592" s="147"/>
      <c r="B592" s="131"/>
      <c r="C592" s="132"/>
      <c r="D592" s="119"/>
      <c r="E592" s="133"/>
      <c r="F592" s="132"/>
      <c r="G592" s="134"/>
      <c r="H592" s="132"/>
      <c r="I592" s="135"/>
      <c r="J592" s="148"/>
      <c r="K592" s="132"/>
      <c r="L592" s="16"/>
      <c r="M592" s="149"/>
      <c r="N592" s="137"/>
      <c r="O592" s="118"/>
      <c r="P592" s="131"/>
      <c r="Q592" s="150"/>
    </row>
    <row r="593">
      <c r="A593" s="151"/>
      <c r="B593" s="121"/>
      <c r="C593" s="122"/>
      <c r="D593" s="123"/>
      <c r="E593" s="124"/>
      <c r="F593" s="122"/>
      <c r="G593" s="125"/>
      <c r="H593" s="122"/>
      <c r="I593" s="126"/>
      <c r="J593" s="152"/>
      <c r="K593" s="122"/>
      <c r="L593" s="45"/>
      <c r="M593" s="153"/>
      <c r="N593" s="128"/>
      <c r="O593" s="129"/>
      <c r="P593" s="121"/>
      <c r="Q593" s="154"/>
    </row>
    <row r="594">
      <c r="A594" s="147"/>
      <c r="B594" s="131"/>
      <c r="C594" s="132"/>
      <c r="D594" s="119"/>
      <c r="E594" s="133"/>
      <c r="F594" s="132"/>
      <c r="G594" s="134"/>
      <c r="H594" s="132"/>
      <c r="I594" s="135"/>
      <c r="J594" s="148"/>
      <c r="K594" s="132"/>
      <c r="L594" s="16"/>
      <c r="M594" s="149"/>
      <c r="N594" s="137"/>
      <c r="O594" s="118"/>
      <c r="P594" s="131"/>
      <c r="Q594" s="150"/>
    </row>
    <row r="595">
      <c r="A595" s="151"/>
      <c r="B595" s="121"/>
      <c r="C595" s="122"/>
      <c r="D595" s="123"/>
      <c r="E595" s="124"/>
      <c r="F595" s="122"/>
      <c r="G595" s="125"/>
      <c r="H595" s="122"/>
      <c r="I595" s="126"/>
      <c r="J595" s="152"/>
      <c r="K595" s="122"/>
      <c r="L595" s="45"/>
      <c r="M595" s="153"/>
      <c r="N595" s="128"/>
      <c r="O595" s="129"/>
      <c r="P595" s="121"/>
      <c r="Q595" s="154"/>
    </row>
    <row r="596">
      <c r="A596" s="147"/>
      <c r="B596" s="131"/>
      <c r="C596" s="132"/>
      <c r="D596" s="119"/>
      <c r="E596" s="133"/>
      <c r="F596" s="132"/>
      <c r="G596" s="134"/>
      <c r="H596" s="132"/>
      <c r="I596" s="135"/>
      <c r="J596" s="148"/>
      <c r="K596" s="132"/>
      <c r="L596" s="16"/>
      <c r="M596" s="149"/>
      <c r="N596" s="137"/>
      <c r="O596" s="118"/>
      <c r="P596" s="131"/>
      <c r="Q596" s="150"/>
    </row>
    <row r="597">
      <c r="A597" s="151"/>
      <c r="B597" s="121"/>
      <c r="C597" s="122"/>
      <c r="D597" s="123"/>
      <c r="E597" s="124"/>
      <c r="F597" s="122"/>
      <c r="G597" s="125"/>
      <c r="H597" s="122"/>
      <c r="I597" s="126"/>
      <c r="J597" s="152"/>
      <c r="K597" s="122"/>
      <c r="L597" s="45"/>
      <c r="M597" s="153"/>
      <c r="N597" s="128"/>
      <c r="O597" s="129"/>
      <c r="P597" s="121"/>
      <c r="Q597" s="154"/>
    </row>
    <row r="598">
      <c r="A598" s="147"/>
      <c r="B598" s="131"/>
      <c r="C598" s="132"/>
      <c r="D598" s="119"/>
      <c r="E598" s="133"/>
      <c r="F598" s="132"/>
      <c r="G598" s="134"/>
      <c r="H598" s="132"/>
      <c r="I598" s="135"/>
      <c r="J598" s="148"/>
      <c r="K598" s="132"/>
      <c r="L598" s="16"/>
      <c r="M598" s="149"/>
      <c r="N598" s="137"/>
      <c r="O598" s="118"/>
      <c r="P598" s="131"/>
      <c r="Q598" s="150"/>
    </row>
    <row r="599">
      <c r="A599" s="151"/>
      <c r="B599" s="121"/>
      <c r="C599" s="122"/>
      <c r="D599" s="123"/>
      <c r="E599" s="124"/>
      <c r="F599" s="122"/>
      <c r="G599" s="125"/>
      <c r="H599" s="122"/>
      <c r="I599" s="126"/>
      <c r="J599" s="152"/>
      <c r="K599" s="122"/>
      <c r="L599" s="45"/>
      <c r="M599" s="153"/>
      <c r="N599" s="128"/>
      <c r="O599" s="129"/>
      <c r="P599" s="121"/>
      <c r="Q599" s="154"/>
    </row>
    <row r="600">
      <c r="A600" s="147"/>
      <c r="B600" s="131"/>
      <c r="C600" s="132"/>
      <c r="D600" s="119"/>
      <c r="E600" s="133"/>
      <c r="F600" s="132"/>
      <c r="G600" s="134"/>
      <c r="H600" s="132"/>
      <c r="I600" s="135"/>
      <c r="J600" s="148"/>
      <c r="K600" s="132"/>
      <c r="L600" s="16"/>
      <c r="M600" s="149"/>
      <c r="N600" s="137"/>
      <c r="O600" s="118"/>
      <c r="P600" s="131"/>
      <c r="Q600" s="150"/>
    </row>
    <row r="601">
      <c r="A601" s="151"/>
      <c r="B601" s="121"/>
      <c r="C601" s="122"/>
      <c r="D601" s="123"/>
      <c r="E601" s="124"/>
      <c r="F601" s="122"/>
      <c r="G601" s="125"/>
      <c r="H601" s="122"/>
      <c r="I601" s="126"/>
      <c r="J601" s="152"/>
      <c r="K601" s="122"/>
      <c r="L601" s="45"/>
      <c r="M601" s="153"/>
      <c r="N601" s="128"/>
      <c r="O601" s="129"/>
      <c r="P601" s="121"/>
      <c r="Q601" s="154"/>
    </row>
    <row r="602">
      <c r="A602" s="147"/>
      <c r="B602" s="131"/>
      <c r="C602" s="132"/>
      <c r="D602" s="119"/>
      <c r="E602" s="133"/>
      <c r="F602" s="132"/>
      <c r="G602" s="134"/>
      <c r="H602" s="132"/>
      <c r="I602" s="135"/>
      <c r="J602" s="148"/>
      <c r="K602" s="132"/>
      <c r="L602" s="16"/>
      <c r="M602" s="149"/>
      <c r="N602" s="137"/>
      <c r="O602" s="118"/>
      <c r="P602" s="131"/>
      <c r="Q602" s="150"/>
    </row>
    <row r="603">
      <c r="A603" s="151"/>
      <c r="B603" s="121"/>
      <c r="C603" s="122"/>
      <c r="D603" s="123"/>
      <c r="E603" s="124"/>
      <c r="F603" s="122"/>
      <c r="G603" s="125"/>
      <c r="H603" s="122"/>
      <c r="I603" s="126"/>
      <c r="J603" s="152"/>
      <c r="K603" s="122"/>
      <c r="L603" s="45"/>
      <c r="M603" s="153"/>
      <c r="N603" s="128"/>
      <c r="O603" s="129"/>
      <c r="P603" s="121"/>
      <c r="Q603" s="154"/>
    </row>
    <row r="604">
      <c r="A604" s="147"/>
      <c r="B604" s="131"/>
      <c r="C604" s="132"/>
      <c r="D604" s="119"/>
      <c r="E604" s="133"/>
      <c r="F604" s="132"/>
      <c r="G604" s="134"/>
      <c r="H604" s="132"/>
      <c r="I604" s="135"/>
      <c r="J604" s="148"/>
      <c r="K604" s="132"/>
      <c r="L604" s="16"/>
      <c r="M604" s="149"/>
      <c r="N604" s="137"/>
      <c r="O604" s="118"/>
      <c r="P604" s="131"/>
      <c r="Q604" s="150"/>
    </row>
    <row r="605">
      <c r="A605" s="151"/>
      <c r="B605" s="121"/>
      <c r="C605" s="122"/>
      <c r="D605" s="123"/>
      <c r="E605" s="124"/>
      <c r="F605" s="122"/>
      <c r="G605" s="125"/>
      <c r="H605" s="122"/>
      <c r="I605" s="126"/>
      <c r="J605" s="152"/>
      <c r="K605" s="122"/>
      <c r="L605" s="45"/>
      <c r="M605" s="153"/>
      <c r="N605" s="128"/>
      <c r="O605" s="129"/>
      <c r="P605" s="121"/>
      <c r="Q605" s="154"/>
    </row>
    <row r="606">
      <c r="A606" s="147"/>
      <c r="B606" s="131"/>
      <c r="C606" s="132"/>
      <c r="D606" s="119"/>
      <c r="E606" s="133"/>
      <c r="F606" s="132"/>
      <c r="G606" s="134"/>
      <c r="H606" s="132"/>
      <c r="I606" s="135"/>
      <c r="J606" s="148"/>
      <c r="K606" s="132"/>
      <c r="L606" s="16"/>
      <c r="M606" s="149"/>
      <c r="N606" s="137"/>
      <c r="O606" s="118"/>
      <c r="P606" s="131"/>
      <c r="Q606" s="150"/>
    </row>
    <row r="607">
      <c r="A607" s="151"/>
      <c r="B607" s="121"/>
      <c r="C607" s="122"/>
      <c r="D607" s="123"/>
      <c r="E607" s="124"/>
      <c r="F607" s="122"/>
      <c r="G607" s="125"/>
      <c r="H607" s="122"/>
      <c r="I607" s="126"/>
      <c r="J607" s="152"/>
      <c r="K607" s="122"/>
      <c r="L607" s="45"/>
      <c r="M607" s="153"/>
      <c r="N607" s="128"/>
      <c r="O607" s="129"/>
      <c r="P607" s="121"/>
      <c r="Q607" s="154"/>
    </row>
    <row r="608">
      <c r="A608" s="147"/>
      <c r="B608" s="131"/>
      <c r="C608" s="132"/>
      <c r="D608" s="119"/>
      <c r="E608" s="133"/>
      <c r="F608" s="132"/>
      <c r="G608" s="134"/>
      <c r="H608" s="132"/>
      <c r="I608" s="135"/>
      <c r="J608" s="148"/>
      <c r="K608" s="132"/>
      <c r="L608" s="16"/>
      <c r="M608" s="149"/>
      <c r="N608" s="137"/>
      <c r="O608" s="118"/>
      <c r="P608" s="131"/>
      <c r="Q608" s="150"/>
    </row>
    <row r="609">
      <c r="A609" s="151"/>
      <c r="B609" s="121"/>
      <c r="C609" s="122"/>
      <c r="D609" s="123"/>
      <c r="E609" s="124"/>
      <c r="F609" s="122"/>
      <c r="G609" s="125"/>
      <c r="H609" s="122"/>
      <c r="I609" s="126"/>
      <c r="J609" s="152"/>
      <c r="K609" s="122"/>
      <c r="L609" s="45"/>
      <c r="M609" s="153"/>
      <c r="N609" s="128"/>
      <c r="O609" s="129"/>
      <c r="P609" s="121"/>
      <c r="Q609" s="154"/>
    </row>
    <row r="610">
      <c r="A610" s="147"/>
      <c r="B610" s="131"/>
      <c r="C610" s="132"/>
      <c r="D610" s="119"/>
      <c r="E610" s="133"/>
      <c r="F610" s="132"/>
      <c r="G610" s="134"/>
      <c r="H610" s="132"/>
      <c r="I610" s="135"/>
      <c r="J610" s="148"/>
      <c r="K610" s="132"/>
      <c r="L610" s="16"/>
      <c r="M610" s="149"/>
      <c r="N610" s="137"/>
      <c r="O610" s="118"/>
      <c r="P610" s="131"/>
      <c r="Q610" s="150"/>
    </row>
    <row r="611">
      <c r="A611" s="151"/>
      <c r="B611" s="121"/>
      <c r="C611" s="122"/>
      <c r="D611" s="123"/>
      <c r="E611" s="124"/>
      <c r="F611" s="122"/>
      <c r="G611" s="125"/>
      <c r="H611" s="122"/>
      <c r="I611" s="126"/>
      <c r="J611" s="152"/>
      <c r="K611" s="122"/>
      <c r="L611" s="45"/>
      <c r="M611" s="153"/>
      <c r="N611" s="128"/>
      <c r="O611" s="129"/>
      <c r="P611" s="121"/>
      <c r="Q611" s="154"/>
    </row>
    <row r="612">
      <c r="A612" s="147"/>
      <c r="B612" s="131"/>
      <c r="C612" s="132"/>
      <c r="D612" s="119"/>
      <c r="E612" s="133"/>
      <c r="F612" s="132"/>
      <c r="G612" s="134"/>
      <c r="H612" s="132"/>
      <c r="I612" s="135"/>
      <c r="J612" s="148"/>
      <c r="K612" s="132"/>
      <c r="L612" s="16"/>
      <c r="M612" s="149"/>
      <c r="N612" s="137"/>
      <c r="O612" s="118"/>
      <c r="P612" s="131"/>
      <c r="Q612" s="150"/>
    </row>
    <row r="613">
      <c r="A613" s="151"/>
      <c r="B613" s="121"/>
      <c r="C613" s="122"/>
      <c r="D613" s="123"/>
      <c r="E613" s="124"/>
      <c r="F613" s="122"/>
      <c r="G613" s="125"/>
      <c r="H613" s="122"/>
      <c r="I613" s="126"/>
      <c r="J613" s="152"/>
      <c r="K613" s="122"/>
      <c r="L613" s="45"/>
      <c r="M613" s="153"/>
      <c r="N613" s="128"/>
      <c r="O613" s="129"/>
      <c r="P613" s="121"/>
      <c r="Q613" s="154"/>
    </row>
    <row r="614">
      <c r="A614" s="147"/>
      <c r="B614" s="131"/>
      <c r="C614" s="132"/>
      <c r="D614" s="119"/>
      <c r="E614" s="133"/>
      <c r="F614" s="132"/>
      <c r="G614" s="134"/>
      <c r="H614" s="132"/>
      <c r="I614" s="135"/>
      <c r="J614" s="148"/>
      <c r="K614" s="132"/>
      <c r="L614" s="16"/>
      <c r="M614" s="149"/>
      <c r="N614" s="137"/>
      <c r="O614" s="118"/>
      <c r="P614" s="131"/>
      <c r="Q614" s="150"/>
    </row>
    <row r="615">
      <c r="A615" s="151"/>
      <c r="B615" s="121"/>
      <c r="C615" s="122"/>
      <c r="D615" s="123"/>
      <c r="E615" s="124"/>
      <c r="F615" s="122"/>
      <c r="G615" s="125"/>
      <c r="H615" s="122"/>
      <c r="I615" s="126"/>
      <c r="J615" s="152"/>
      <c r="K615" s="122"/>
      <c r="L615" s="45"/>
      <c r="M615" s="153"/>
      <c r="N615" s="128"/>
      <c r="O615" s="129"/>
      <c r="P615" s="121"/>
      <c r="Q615" s="154"/>
    </row>
    <row r="616">
      <c r="A616" s="147"/>
      <c r="B616" s="131"/>
      <c r="C616" s="132"/>
      <c r="D616" s="119"/>
      <c r="E616" s="133"/>
      <c r="F616" s="132"/>
      <c r="G616" s="134"/>
      <c r="H616" s="132"/>
      <c r="I616" s="135"/>
      <c r="J616" s="148"/>
      <c r="K616" s="132"/>
      <c r="L616" s="16"/>
      <c r="M616" s="149"/>
      <c r="N616" s="137"/>
      <c r="O616" s="118"/>
      <c r="P616" s="131"/>
      <c r="Q616" s="150"/>
    </row>
    <row r="617">
      <c r="A617" s="151"/>
      <c r="B617" s="121"/>
      <c r="C617" s="122"/>
      <c r="D617" s="123"/>
      <c r="E617" s="124"/>
      <c r="F617" s="122"/>
      <c r="G617" s="125"/>
      <c r="H617" s="122"/>
      <c r="I617" s="126"/>
      <c r="J617" s="152"/>
      <c r="K617" s="122"/>
      <c r="L617" s="45"/>
      <c r="M617" s="153"/>
      <c r="N617" s="128"/>
      <c r="O617" s="129"/>
      <c r="P617" s="121"/>
      <c r="Q617" s="154"/>
    </row>
    <row r="618">
      <c r="A618" s="147"/>
      <c r="B618" s="131"/>
      <c r="C618" s="132"/>
      <c r="D618" s="119"/>
      <c r="E618" s="133"/>
      <c r="F618" s="132"/>
      <c r="G618" s="134"/>
      <c r="H618" s="132"/>
      <c r="I618" s="135"/>
      <c r="J618" s="148"/>
      <c r="K618" s="132"/>
      <c r="L618" s="16"/>
      <c r="M618" s="149"/>
      <c r="N618" s="137"/>
      <c r="O618" s="118"/>
      <c r="P618" s="131"/>
      <c r="Q618" s="150"/>
    </row>
    <row r="619">
      <c r="A619" s="151"/>
      <c r="B619" s="121"/>
      <c r="C619" s="122"/>
      <c r="D619" s="123"/>
      <c r="E619" s="124"/>
      <c r="F619" s="122"/>
      <c r="G619" s="125"/>
      <c r="H619" s="122"/>
      <c r="I619" s="126"/>
      <c r="J619" s="152"/>
      <c r="K619" s="122"/>
      <c r="L619" s="45"/>
      <c r="M619" s="153"/>
      <c r="N619" s="128"/>
      <c r="O619" s="129"/>
      <c r="P619" s="121"/>
      <c r="Q619" s="154"/>
    </row>
    <row r="620">
      <c r="A620" s="147"/>
      <c r="B620" s="131"/>
      <c r="C620" s="132"/>
      <c r="D620" s="119"/>
      <c r="E620" s="133"/>
      <c r="F620" s="132"/>
      <c r="G620" s="134"/>
      <c r="H620" s="132"/>
      <c r="I620" s="135"/>
      <c r="J620" s="148"/>
      <c r="K620" s="132"/>
      <c r="L620" s="16"/>
      <c r="M620" s="149"/>
      <c r="N620" s="137"/>
      <c r="O620" s="118"/>
      <c r="P620" s="131"/>
      <c r="Q620" s="150"/>
    </row>
    <row r="621">
      <c r="A621" s="151"/>
      <c r="B621" s="121"/>
      <c r="C621" s="122"/>
      <c r="D621" s="123"/>
      <c r="E621" s="124"/>
      <c r="F621" s="122"/>
      <c r="G621" s="125"/>
      <c r="H621" s="122"/>
      <c r="I621" s="126"/>
      <c r="J621" s="152"/>
      <c r="K621" s="122"/>
      <c r="L621" s="45"/>
      <c r="M621" s="153"/>
      <c r="N621" s="128"/>
      <c r="O621" s="129"/>
      <c r="P621" s="121"/>
      <c r="Q621" s="154"/>
    </row>
    <row r="622">
      <c r="A622" s="147"/>
      <c r="B622" s="131"/>
      <c r="C622" s="132"/>
      <c r="D622" s="119"/>
      <c r="E622" s="133"/>
      <c r="F622" s="132"/>
      <c r="G622" s="134"/>
      <c r="H622" s="132"/>
      <c r="I622" s="135"/>
      <c r="J622" s="148"/>
      <c r="K622" s="132"/>
      <c r="L622" s="16"/>
      <c r="M622" s="149"/>
      <c r="N622" s="137"/>
      <c r="O622" s="118"/>
      <c r="P622" s="131"/>
      <c r="Q622" s="150"/>
    </row>
    <row r="623">
      <c r="A623" s="151"/>
      <c r="B623" s="121"/>
      <c r="C623" s="122"/>
      <c r="D623" s="123"/>
      <c r="E623" s="124"/>
      <c r="F623" s="122"/>
      <c r="G623" s="125"/>
      <c r="H623" s="122"/>
      <c r="I623" s="126"/>
      <c r="J623" s="152"/>
      <c r="K623" s="122"/>
      <c r="L623" s="45"/>
      <c r="M623" s="153"/>
      <c r="N623" s="128"/>
      <c r="O623" s="129"/>
      <c r="P623" s="121"/>
      <c r="Q623" s="154"/>
    </row>
    <row r="624">
      <c r="A624" s="147"/>
      <c r="B624" s="131"/>
      <c r="C624" s="132"/>
      <c r="D624" s="119"/>
      <c r="E624" s="133"/>
      <c r="F624" s="132"/>
      <c r="G624" s="134"/>
      <c r="H624" s="132"/>
      <c r="I624" s="135"/>
      <c r="J624" s="148"/>
      <c r="K624" s="132"/>
      <c r="L624" s="16"/>
      <c r="M624" s="149"/>
      <c r="N624" s="137"/>
      <c r="O624" s="118"/>
      <c r="P624" s="131"/>
      <c r="Q624" s="150"/>
    </row>
    <row r="625">
      <c r="A625" s="151"/>
      <c r="B625" s="121"/>
      <c r="C625" s="122"/>
      <c r="D625" s="123"/>
      <c r="E625" s="124"/>
      <c r="F625" s="122"/>
      <c r="G625" s="125"/>
      <c r="H625" s="122"/>
      <c r="I625" s="126"/>
      <c r="J625" s="152"/>
      <c r="K625" s="122"/>
      <c r="L625" s="45"/>
      <c r="M625" s="153"/>
      <c r="N625" s="128"/>
      <c r="O625" s="129"/>
      <c r="P625" s="121"/>
      <c r="Q625" s="154"/>
    </row>
    <row r="626">
      <c r="A626" s="147"/>
      <c r="B626" s="131"/>
      <c r="C626" s="132"/>
      <c r="D626" s="119"/>
      <c r="E626" s="133"/>
      <c r="F626" s="132"/>
      <c r="G626" s="134"/>
      <c r="H626" s="132"/>
      <c r="I626" s="135"/>
      <c r="J626" s="148"/>
      <c r="K626" s="132"/>
      <c r="L626" s="16"/>
      <c r="M626" s="149"/>
      <c r="N626" s="137"/>
      <c r="O626" s="118"/>
      <c r="P626" s="131"/>
      <c r="Q626" s="150"/>
    </row>
    <row r="627">
      <c r="A627" s="151"/>
      <c r="B627" s="121"/>
      <c r="C627" s="122"/>
      <c r="D627" s="123"/>
      <c r="E627" s="124"/>
      <c r="F627" s="122"/>
      <c r="G627" s="125"/>
      <c r="H627" s="122"/>
      <c r="I627" s="126"/>
      <c r="J627" s="152"/>
      <c r="K627" s="122"/>
      <c r="L627" s="45"/>
      <c r="M627" s="153"/>
      <c r="N627" s="128"/>
      <c r="O627" s="129"/>
      <c r="P627" s="121"/>
      <c r="Q627" s="154"/>
    </row>
    <row r="628">
      <c r="A628" s="147"/>
      <c r="B628" s="131"/>
      <c r="C628" s="132"/>
      <c r="D628" s="119"/>
      <c r="E628" s="133"/>
      <c r="F628" s="132"/>
      <c r="G628" s="134"/>
      <c r="H628" s="132"/>
      <c r="I628" s="135"/>
      <c r="J628" s="148"/>
      <c r="K628" s="132"/>
      <c r="L628" s="16"/>
      <c r="M628" s="149"/>
      <c r="N628" s="137"/>
      <c r="O628" s="118"/>
      <c r="P628" s="131"/>
      <c r="Q628" s="150"/>
    </row>
    <row r="629">
      <c r="A629" s="151"/>
      <c r="B629" s="121"/>
      <c r="C629" s="122"/>
      <c r="D629" s="123"/>
      <c r="E629" s="124"/>
      <c r="F629" s="122"/>
      <c r="G629" s="125"/>
      <c r="H629" s="122"/>
      <c r="I629" s="126"/>
      <c r="J629" s="152"/>
      <c r="K629" s="122"/>
      <c r="L629" s="45"/>
      <c r="M629" s="153"/>
      <c r="N629" s="128"/>
      <c r="O629" s="129"/>
      <c r="P629" s="121"/>
      <c r="Q629" s="154"/>
    </row>
    <row r="630">
      <c r="A630" s="147"/>
      <c r="B630" s="131"/>
      <c r="C630" s="132"/>
      <c r="D630" s="119"/>
      <c r="E630" s="133"/>
      <c r="F630" s="132"/>
      <c r="G630" s="134"/>
      <c r="H630" s="132"/>
      <c r="I630" s="135"/>
      <c r="J630" s="148"/>
      <c r="K630" s="132"/>
      <c r="L630" s="16"/>
      <c r="M630" s="149"/>
      <c r="N630" s="137"/>
      <c r="O630" s="118"/>
      <c r="P630" s="131"/>
      <c r="Q630" s="150"/>
    </row>
    <row r="631">
      <c r="A631" s="151"/>
      <c r="B631" s="121"/>
      <c r="C631" s="122"/>
      <c r="D631" s="123"/>
      <c r="E631" s="124"/>
      <c r="F631" s="122"/>
      <c r="G631" s="125"/>
      <c r="H631" s="122"/>
      <c r="I631" s="126"/>
      <c r="J631" s="152"/>
      <c r="K631" s="122"/>
      <c r="L631" s="45"/>
      <c r="M631" s="153"/>
      <c r="N631" s="128"/>
      <c r="O631" s="129"/>
      <c r="P631" s="121"/>
      <c r="Q631" s="154"/>
    </row>
    <row r="632">
      <c r="A632" s="147"/>
      <c r="B632" s="131"/>
      <c r="C632" s="132"/>
      <c r="D632" s="119"/>
      <c r="E632" s="133"/>
      <c r="F632" s="132"/>
      <c r="G632" s="134"/>
      <c r="H632" s="132"/>
      <c r="I632" s="135"/>
      <c r="J632" s="148"/>
      <c r="K632" s="132"/>
      <c r="L632" s="16"/>
      <c r="M632" s="149"/>
      <c r="N632" s="137"/>
      <c r="O632" s="118"/>
      <c r="P632" s="131"/>
      <c r="Q632" s="150"/>
    </row>
    <row r="633">
      <c r="A633" s="151"/>
      <c r="B633" s="121"/>
      <c r="C633" s="122"/>
      <c r="D633" s="123"/>
      <c r="E633" s="124"/>
      <c r="F633" s="122"/>
      <c r="G633" s="125"/>
      <c r="H633" s="122"/>
      <c r="I633" s="126"/>
      <c r="J633" s="152"/>
      <c r="K633" s="122"/>
      <c r="L633" s="45"/>
      <c r="M633" s="153"/>
      <c r="N633" s="128"/>
      <c r="O633" s="129"/>
      <c r="P633" s="121"/>
      <c r="Q633" s="154"/>
    </row>
    <row r="634">
      <c r="A634" s="147"/>
      <c r="B634" s="131"/>
      <c r="C634" s="132"/>
      <c r="D634" s="119"/>
      <c r="E634" s="133"/>
      <c r="F634" s="132"/>
      <c r="G634" s="134"/>
      <c r="H634" s="132"/>
      <c r="I634" s="135"/>
      <c r="J634" s="148"/>
      <c r="K634" s="132"/>
      <c r="L634" s="16"/>
      <c r="M634" s="149"/>
      <c r="N634" s="137"/>
      <c r="O634" s="118"/>
      <c r="P634" s="131"/>
      <c r="Q634" s="150"/>
    </row>
    <row r="635">
      <c r="A635" s="151"/>
      <c r="B635" s="121"/>
      <c r="C635" s="122"/>
      <c r="D635" s="123"/>
      <c r="E635" s="124"/>
      <c r="F635" s="122"/>
      <c r="G635" s="125"/>
      <c r="H635" s="122"/>
      <c r="I635" s="126"/>
      <c r="J635" s="152"/>
      <c r="K635" s="122"/>
      <c r="L635" s="45"/>
      <c r="M635" s="153"/>
      <c r="N635" s="128"/>
      <c r="O635" s="129"/>
      <c r="P635" s="121"/>
      <c r="Q635" s="154"/>
    </row>
    <row r="636">
      <c r="A636" s="147"/>
      <c r="B636" s="131"/>
      <c r="C636" s="132"/>
      <c r="D636" s="119"/>
      <c r="E636" s="133"/>
      <c r="F636" s="132"/>
      <c r="G636" s="134"/>
      <c r="H636" s="132"/>
      <c r="I636" s="135"/>
      <c r="J636" s="148"/>
      <c r="K636" s="132"/>
      <c r="L636" s="16"/>
      <c r="M636" s="149"/>
      <c r="N636" s="137"/>
      <c r="O636" s="118"/>
      <c r="P636" s="131"/>
      <c r="Q636" s="150"/>
    </row>
    <row r="637">
      <c r="A637" s="151"/>
      <c r="B637" s="121"/>
      <c r="C637" s="122"/>
      <c r="D637" s="123"/>
      <c r="E637" s="124"/>
      <c r="F637" s="122"/>
      <c r="G637" s="125"/>
      <c r="H637" s="122"/>
      <c r="I637" s="126"/>
      <c r="J637" s="152"/>
      <c r="K637" s="122"/>
      <c r="L637" s="45"/>
      <c r="M637" s="153"/>
      <c r="N637" s="128"/>
      <c r="O637" s="129"/>
      <c r="P637" s="121"/>
      <c r="Q637" s="154"/>
    </row>
    <row r="638">
      <c r="A638" s="147"/>
      <c r="B638" s="131"/>
      <c r="C638" s="132"/>
      <c r="D638" s="119"/>
      <c r="E638" s="133"/>
      <c r="F638" s="132"/>
      <c r="G638" s="134"/>
      <c r="H638" s="132"/>
      <c r="I638" s="135"/>
      <c r="J638" s="148"/>
      <c r="K638" s="132"/>
      <c r="L638" s="16"/>
      <c r="M638" s="149"/>
      <c r="N638" s="137"/>
      <c r="O638" s="118"/>
      <c r="P638" s="131"/>
      <c r="Q638" s="150"/>
    </row>
    <row r="639">
      <c r="A639" s="151"/>
      <c r="B639" s="121"/>
      <c r="C639" s="122"/>
      <c r="D639" s="123"/>
      <c r="E639" s="124"/>
      <c r="F639" s="122"/>
      <c r="G639" s="125"/>
      <c r="H639" s="122"/>
      <c r="I639" s="126"/>
      <c r="J639" s="152"/>
      <c r="K639" s="122"/>
      <c r="L639" s="45"/>
      <c r="M639" s="153"/>
      <c r="N639" s="128"/>
      <c r="O639" s="129"/>
      <c r="P639" s="121"/>
      <c r="Q639" s="154"/>
    </row>
    <row r="640">
      <c r="A640" s="147"/>
      <c r="B640" s="131"/>
      <c r="C640" s="132"/>
      <c r="D640" s="119"/>
      <c r="E640" s="133"/>
      <c r="F640" s="132"/>
      <c r="G640" s="134"/>
      <c r="H640" s="132"/>
      <c r="I640" s="135"/>
      <c r="J640" s="148"/>
      <c r="K640" s="132"/>
      <c r="L640" s="16"/>
      <c r="M640" s="149"/>
      <c r="N640" s="137"/>
      <c r="O640" s="118"/>
      <c r="P640" s="131"/>
      <c r="Q640" s="150"/>
    </row>
    <row r="641">
      <c r="A641" s="151"/>
      <c r="B641" s="121"/>
      <c r="C641" s="122"/>
      <c r="D641" s="123"/>
      <c r="E641" s="124"/>
      <c r="F641" s="122"/>
      <c r="G641" s="125"/>
      <c r="H641" s="122"/>
      <c r="I641" s="126"/>
      <c r="J641" s="152"/>
      <c r="K641" s="122"/>
      <c r="L641" s="45"/>
      <c r="M641" s="153"/>
      <c r="N641" s="128"/>
      <c r="O641" s="129"/>
      <c r="P641" s="121"/>
      <c r="Q641" s="154"/>
    </row>
    <row r="642">
      <c r="A642" s="147"/>
      <c r="B642" s="131"/>
      <c r="C642" s="132"/>
      <c r="D642" s="119"/>
      <c r="E642" s="133"/>
      <c r="F642" s="132"/>
      <c r="G642" s="134"/>
      <c r="H642" s="132"/>
      <c r="I642" s="135"/>
      <c r="J642" s="148"/>
      <c r="K642" s="132"/>
      <c r="L642" s="16"/>
      <c r="M642" s="149"/>
      <c r="N642" s="137"/>
      <c r="O642" s="118"/>
      <c r="P642" s="131"/>
      <c r="Q642" s="150"/>
    </row>
    <row r="643">
      <c r="A643" s="151"/>
      <c r="B643" s="121"/>
      <c r="C643" s="122"/>
      <c r="D643" s="123"/>
      <c r="E643" s="124"/>
      <c r="F643" s="122"/>
      <c r="G643" s="125"/>
      <c r="H643" s="122"/>
      <c r="I643" s="126"/>
      <c r="J643" s="152"/>
      <c r="K643" s="122"/>
      <c r="L643" s="45"/>
      <c r="M643" s="153"/>
      <c r="N643" s="128"/>
      <c r="O643" s="129"/>
      <c r="P643" s="121"/>
      <c r="Q643" s="154"/>
    </row>
    <row r="644">
      <c r="A644" s="147"/>
      <c r="B644" s="131"/>
      <c r="C644" s="132"/>
      <c r="D644" s="119"/>
      <c r="E644" s="133"/>
      <c r="F644" s="132"/>
      <c r="G644" s="134"/>
      <c r="H644" s="132"/>
      <c r="I644" s="135"/>
      <c r="J644" s="148"/>
      <c r="K644" s="132"/>
      <c r="L644" s="16"/>
      <c r="M644" s="149"/>
      <c r="N644" s="137"/>
      <c r="O644" s="118"/>
      <c r="P644" s="131"/>
      <c r="Q644" s="150"/>
    </row>
    <row r="645">
      <c r="A645" s="151"/>
      <c r="B645" s="121"/>
      <c r="C645" s="122"/>
      <c r="D645" s="123"/>
      <c r="E645" s="124"/>
      <c r="F645" s="122"/>
      <c r="G645" s="125"/>
      <c r="H645" s="122"/>
      <c r="I645" s="126"/>
      <c r="J645" s="152"/>
      <c r="K645" s="122"/>
      <c r="L645" s="45"/>
      <c r="M645" s="153"/>
      <c r="N645" s="128"/>
      <c r="O645" s="129"/>
      <c r="P645" s="121"/>
      <c r="Q645" s="154"/>
    </row>
    <row r="646">
      <c r="A646" s="147"/>
      <c r="B646" s="131"/>
      <c r="C646" s="132"/>
      <c r="D646" s="119"/>
      <c r="E646" s="133"/>
      <c r="F646" s="132"/>
      <c r="G646" s="134"/>
      <c r="H646" s="132"/>
      <c r="I646" s="135"/>
      <c r="J646" s="148"/>
      <c r="K646" s="132"/>
      <c r="L646" s="16"/>
      <c r="M646" s="149"/>
      <c r="N646" s="137"/>
      <c r="O646" s="118"/>
      <c r="P646" s="131"/>
      <c r="Q646" s="150"/>
    </row>
    <row r="647">
      <c r="A647" s="151"/>
      <c r="B647" s="121"/>
      <c r="C647" s="122"/>
      <c r="D647" s="123"/>
      <c r="E647" s="124"/>
      <c r="F647" s="122"/>
      <c r="G647" s="125"/>
      <c r="H647" s="122"/>
      <c r="I647" s="126"/>
      <c r="J647" s="152"/>
      <c r="K647" s="122"/>
      <c r="L647" s="45"/>
      <c r="M647" s="153"/>
      <c r="N647" s="128"/>
      <c r="O647" s="129"/>
      <c r="P647" s="121"/>
      <c r="Q647" s="154"/>
    </row>
    <row r="648">
      <c r="A648" s="147"/>
      <c r="B648" s="131"/>
      <c r="C648" s="132"/>
      <c r="D648" s="119"/>
      <c r="E648" s="133"/>
      <c r="F648" s="132"/>
      <c r="G648" s="134"/>
      <c r="H648" s="132"/>
      <c r="I648" s="135"/>
      <c r="J648" s="148"/>
      <c r="K648" s="132"/>
      <c r="L648" s="16"/>
      <c r="M648" s="149"/>
      <c r="N648" s="137"/>
      <c r="O648" s="118"/>
      <c r="P648" s="131"/>
      <c r="Q648" s="150"/>
    </row>
    <row r="649">
      <c r="A649" s="151"/>
      <c r="B649" s="121"/>
      <c r="C649" s="122"/>
      <c r="D649" s="123"/>
      <c r="E649" s="124"/>
      <c r="F649" s="122"/>
      <c r="G649" s="125"/>
      <c r="H649" s="122"/>
      <c r="I649" s="126"/>
      <c r="J649" s="152"/>
      <c r="K649" s="122"/>
      <c r="L649" s="45"/>
      <c r="M649" s="153"/>
      <c r="N649" s="128"/>
      <c r="O649" s="129"/>
      <c r="P649" s="121"/>
      <c r="Q649" s="154"/>
    </row>
    <row r="650">
      <c r="A650" s="147"/>
      <c r="B650" s="131"/>
      <c r="C650" s="132"/>
      <c r="D650" s="119"/>
      <c r="E650" s="133"/>
      <c r="F650" s="132"/>
      <c r="G650" s="134"/>
      <c r="H650" s="132"/>
      <c r="I650" s="135"/>
      <c r="J650" s="148"/>
      <c r="K650" s="132"/>
      <c r="L650" s="16"/>
      <c r="M650" s="149"/>
      <c r="N650" s="137"/>
      <c r="O650" s="118"/>
      <c r="P650" s="131"/>
      <c r="Q650" s="150"/>
    </row>
    <row r="651">
      <c r="A651" s="151"/>
      <c r="B651" s="121"/>
      <c r="C651" s="122"/>
      <c r="D651" s="123"/>
      <c r="E651" s="124"/>
      <c r="F651" s="122"/>
      <c r="G651" s="125"/>
      <c r="H651" s="122"/>
      <c r="I651" s="126"/>
      <c r="J651" s="152"/>
      <c r="K651" s="122"/>
      <c r="L651" s="45"/>
      <c r="M651" s="153"/>
      <c r="N651" s="128"/>
      <c r="O651" s="129"/>
      <c r="P651" s="121"/>
      <c r="Q651" s="154"/>
    </row>
    <row r="652">
      <c r="A652" s="147"/>
      <c r="B652" s="131"/>
      <c r="C652" s="132"/>
      <c r="D652" s="119"/>
      <c r="E652" s="133"/>
      <c r="F652" s="132"/>
      <c r="G652" s="134"/>
      <c r="H652" s="132"/>
      <c r="I652" s="135"/>
      <c r="J652" s="148"/>
      <c r="K652" s="132"/>
      <c r="L652" s="16"/>
      <c r="M652" s="149"/>
      <c r="N652" s="137"/>
      <c r="O652" s="118"/>
      <c r="P652" s="131"/>
      <c r="Q652" s="150"/>
    </row>
    <row r="653">
      <c r="A653" s="151"/>
      <c r="B653" s="121"/>
      <c r="C653" s="122"/>
      <c r="D653" s="123"/>
      <c r="E653" s="124"/>
      <c r="F653" s="122"/>
      <c r="G653" s="125"/>
      <c r="H653" s="122"/>
      <c r="I653" s="126"/>
      <c r="J653" s="152"/>
      <c r="K653" s="122"/>
      <c r="L653" s="45"/>
      <c r="M653" s="153"/>
      <c r="N653" s="128"/>
      <c r="O653" s="129"/>
      <c r="P653" s="121"/>
      <c r="Q653" s="154"/>
    </row>
    <row r="654">
      <c r="A654" s="147"/>
      <c r="B654" s="131"/>
      <c r="C654" s="132"/>
      <c r="D654" s="119"/>
      <c r="E654" s="133"/>
      <c r="F654" s="132"/>
      <c r="G654" s="134"/>
      <c r="H654" s="132"/>
      <c r="I654" s="135"/>
      <c r="J654" s="148"/>
      <c r="K654" s="132"/>
      <c r="L654" s="16"/>
      <c r="M654" s="149"/>
      <c r="N654" s="137"/>
      <c r="O654" s="118"/>
      <c r="P654" s="131"/>
      <c r="Q654" s="150"/>
    </row>
    <row r="655">
      <c r="A655" s="151"/>
      <c r="B655" s="121"/>
      <c r="C655" s="122"/>
      <c r="D655" s="123"/>
      <c r="E655" s="124"/>
      <c r="F655" s="122"/>
      <c r="G655" s="125"/>
      <c r="H655" s="122"/>
      <c r="I655" s="126"/>
      <c r="J655" s="152"/>
      <c r="K655" s="122"/>
      <c r="L655" s="45"/>
      <c r="M655" s="153"/>
      <c r="N655" s="128"/>
      <c r="O655" s="129"/>
      <c r="P655" s="121"/>
      <c r="Q655" s="154"/>
    </row>
    <row r="656">
      <c r="A656" s="147"/>
      <c r="B656" s="131"/>
      <c r="C656" s="132"/>
      <c r="D656" s="119"/>
      <c r="E656" s="133"/>
      <c r="F656" s="132"/>
      <c r="G656" s="134"/>
      <c r="H656" s="132"/>
      <c r="I656" s="135"/>
      <c r="J656" s="148"/>
      <c r="K656" s="132"/>
      <c r="L656" s="16"/>
      <c r="M656" s="149"/>
      <c r="N656" s="137"/>
      <c r="O656" s="118"/>
      <c r="P656" s="131"/>
      <c r="Q656" s="150"/>
    </row>
    <row r="657">
      <c r="A657" s="151"/>
      <c r="B657" s="121"/>
      <c r="C657" s="122"/>
      <c r="D657" s="123"/>
      <c r="E657" s="124"/>
      <c r="F657" s="122"/>
      <c r="G657" s="125"/>
      <c r="H657" s="122"/>
      <c r="I657" s="126"/>
      <c r="J657" s="152"/>
      <c r="K657" s="122"/>
      <c r="L657" s="45"/>
      <c r="M657" s="153"/>
      <c r="N657" s="128"/>
      <c r="O657" s="129"/>
      <c r="P657" s="121"/>
      <c r="Q657" s="154"/>
    </row>
    <row r="658">
      <c r="A658" s="147"/>
      <c r="B658" s="131"/>
      <c r="C658" s="132"/>
      <c r="D658" s="119"/>
      <c r="E658" s="133"/>
      <c r="F658" s="132"/>
      <c r="G658" s="134"/>
      <c r="H658" s="132"/>
      <c r="I658" s="135"/>
      <c r="J658" s="148"/>
      <c r="K658" s="132"/>
      <c r="L658" s="16"/>
      <c r="M658" s="149"/>
      <c r="N658" s="137"/>
      <c r="O658" s="118"/>
      <c r="P658" s="131"/>
      <c r="Q658" s="150"/>
    </row>
    <row r="659">
      <c r="A659" s="151"/>
      <c r="B659" s="121"/>
      <c r="C659" s="122"/>
      <c r="D659" s="123"/>
      <c r="E659" s="124"/>
      <c r="F659" s="122"/>
      <c r="G659" s="125"/>
      <c r="H659" s="122"/>
      <c r="I659" s="126"/>
      <c r="J659" s="152"/>
      <c r="K659" s="122"/>
      <c r="L659" s="45"/>
      <c r="M659" s="153"/>
      <c r="N659" s="128"/>
      <c r="O659" s="129"/>
      <c r="P659" s="121"/>
      <c r="Q659" s="154"/>
    </row>
    <row r="660">
      <c r="A660" s="147"/>
      <c r="B660" s="131"/>
      <c r="C660" s="132"/>
      <c r="D660" s="119"/>
      <c r="E660" s="133"/>
      <c r="F660" s="132"/>
      <c r="G660" s="134"/>
      <c r="H660" s="132"/>
      <c r="I660" s="135"/>
      <c r="J660" s="148"/>
      <c r="K660" s="132"/>
      <c r="L660" s="16"/>
      <c r="M660" s="149"/>
      <c r="N660" s="137"/>
      <c r="O660" s="118"/>
      <c r="P660" s="131"/>
      <c r="Q660" s="150"/>
    </row>
    <row r="661">
      <c r="A661" s="151"/>
      <c r="B661" s="121"/>
      <c r="C661" s="122"/>
      <c r="D661" s="123"/>
      <c r="E661" s="124"/>
      <c r="F661" s="122"/>
      <c r="G661" s="125"/>
      <c r="H661" s="122"/>
      <c r="I661" s="126"/>
      <c r="J661" s="152"/>
      <c r="K661" s="122"/>
      <c r="L661" s="45"/>
      <c r="M661" s="153"/>
      <c r="N661" s="128"/>
      <c r="O661" s="129"/>
      <c r="P661" s="121"/>
      <c r="Q661" s="154"/>
    </row>
    <row r="662">
      <c r="A662" s="147"/>
      <c r="B662" s="131"/>
      <c r="C662" s="132"/>
      <c r="D662" s="119"/>
      <c r="E662" s="133"/>
      <c r="F662" s="132"/>
      <c r="G662" s="134"/>
      <c r="H662" s="132"/>
      <c r="I662" s="135"/>
      <c r="J662" s="148"/>
      <c r="K662" s="132"/>
      <c r="L662" s="16"/>
      <c r="M662" s="149"/>
      <c r="N662" s="137"/>
      <c r="O662" s="118"/>
      <c r="P662" s="131"/>
      <c r="Q662" s="150"/>
    </row>
    <row r="663">
      <c r="A663" s="151"/>
      <c r="B663" s="121"/>
      <c r="C663" s="122"/>
      <c r="D663" s="123"/>
      <c r="E663" s="124"/>
      <c r="F663" s="122"/>
      <c r="G663" s="125"/>
      <c r="H663" s="122"/>
      <c r="I663" s="126"/>
      <c r="J663" s="152"/>
      <c r="K663" s="122"/>
      <c r="L663" s="45"/>
      <c r="M663" s="153"/>
      <c r="N663" s="128"/>
      <c r="O663" s="129"/>
      <c r="P663" s="121"/>
      <c r="Q663" s="154"/>
    </row>
    <row r="664">
      <c r="A664" s="147"/>
      <c r="B664" s="131"/>
      <c r="C664" s="132"/>
      <c r="D664" s="119"/>
      <c r="E664" s="133"/>
      <c r="F664" s="132"/>
      <c r="G664" s="134"/>
      <c r="H664" s="132"/>
      <c r="I664" s="135"/>
      <c r="J664" s="148"/>
      <c r="K664" s="132"/>
      <c r="L664" s="16"/>
      <c r="M664" s="149"/>
      <c r="N664" s="137"/>
      <c r="O664" s="118"/>
      <c r="P664" s="131"/>
      <c r="Q664" s="150"/>
    </row>
    <row r="665">
      <c r="A665" s="151"/>
      <c r="B665" s="121"/>
      <c r="C665" s="122"/>
      <c r="D665" s="123"/>
      <c r="E665" s="124"/>
      <c r="F665" s="122"/>
      <c r="G665" s="125"/>
      <c r="H665" s="122"/>
      <c r="I665" s="126"/>
      <c r="J665" s="152"/>
      <c r="K665" s="122"/>
      <c r="L665" s="45"/>
      <c r="M665" s="153"/>
      <c r="N665" s="128"/>
      <c r="O665" s="129"/>
      <c r="P665" s="121"/>
      <c r="Q665" s="154"/>
    </row>
    <row r="666">
      <c r="A666" s="147"/>
      <c r="B666" s="131"/>
      <c r="C666" s="132"/>
      <c r="D666" s="119"/>
      <c r="E666" s="133"/>
      <c r="F666" s="132"/>
      <c r="G666" s="134"/>
      <c r="H666" s="132"/>
      <c r="I666" s="135"/>
      <c r="J666" s="148"/>
      <c r="K666" s="132"/>
      <c r="L666" s="16"/>
      <c r="M666" s="149"/>
      <c r="N666" s="137"/>
      <c r="O666" s="118"/>
      <c r="P666" s="131"/>
      <c r="Q666" s="150"/>
    </row>
    <row r="667">
      <c r="A667" s="151"/>
      <c r="B667" s="121"/>
      <c r="C667" s="122"/>
      <c r="D667" s="123"/>
      <c r="E667" s="124"/>
      <c r="F667" s="122"/>
      <c r="G667" s="125"/>
      <c r="H667" s="122"/>
      <c r="I667" s="126"/>
      <c r="J667" s="152"/>
      <c r="K667" s="122"/>
      <c r="L667" s="45"/>
      <c r="M667" s="153"/>
      <c r="N667" s="128"/>
      <c r="O667" s="129"/>
      <c r="P667" s="121"/>
      <c r="Q667" s="154"/>
    </row>
    <row r="668">
      <c r="A668" s="147"/>
      <c r="B668" s="131"/>
      <c r="C668" s="132"/>
      <c r="D668" s="119"/>
      <c r="E668" s="133"/>
      <c r="F668" s="132"/>
      <c r="G668" s="134"/>
      <c r="H668" s="132"/>
      <c r="I668" s="135"/>
      <c r="J668" s="148"/>
      <c r="K668" s="132"/>
      <c r="L668" s="16"/>
      <c r="M668" s="149"/>
      <c r="N668" s="137"/>
      <c r="O668" s="118"/>
      <c r="P668" s="131"/>
      <c r="Q668" s="150"/>
    </row>
    <row r="669">
      <c r="A669" s="151"/>
      <c r="B669" s="121"/>
      <c r="C669" s="122"/>
      <c r="D669" s="123"/>
      <c r="E669" s="124"/>
      <c r="F669" s="122"/>
      <c r="G669" s="125"/>
      <c r="H669" s="122"/>
      <c r="I669" s="126"/>
      <c r="J669" s="152"/>
      <c r="K669" s="122"/>
      <c r="L669" s="45"/>
      <c r="M669" s="153"/>
      <c r="N669" s="128"/>
      <c r="O669" s="129"/>
      <c r="P669" s="121"/>
      <c r="Q669" s="154"/>
    </row>
    <row r="670">
      <c r="A670" s="147"/>
      <c r="B670" s="131"/>
      <c r="C670" s="132"/>
      <c r="D670" s="119"/>
      <c r="E670" s="133"/>
      <c r="F670" s="132"/>
      <c r="G670" s="134"/>
      <c r="H670" s="132"/>
      <c r="I670" s="135"/>
      <c r="J670" s="148"/>
      <c r="K670" s="132"/>
      <c r="L670" s="16"/>
      <c r="M670" s="149"/>
      <c r="N670" s="137"/>
      <c r="O670" s="118"/>
      <c r="P670" s="131"/>
      <c r="Q670" s="150"/>
    </row>
    <row r="671">
      <c r="A671" s="151"/>
      <c r="B671" s="121"/>
      <c r="C671" s="122"/>
      <c r="D671" s="123"/>
      <c r="E671" s="124"/>
      <c r="F671" s="122"/>
      <c r="G671" s="125"/>
      <c r="H671" s="122"/>
      <c r="I671" s="126"/>
      <c r="J671" s="152"/>
      <c r="K671" s="122"/>
      <c r="L671" s="45"/>
      <c r="M671" s="153"/>
      <c r="N671" s="128"/>
      <c r="O671" s="129"/>
      <c r="P671" s="121"/>
      <c r="Q671" s="154"/>
    </row>
    <row r="672">
      <c r="A672" s="147"/>
      <c r="B672" s="131"/>
      <c r="C672" s="132"/>
      <c r="D672" s="119"/>
      <c r="E672" s="133"/>
      <c r="F672" s="132"/>
      <c r="G672" s="134"/>
      <c r="H672" s="132"/>
      <c r="I672" s="135"/>
      <c r="J672" s="148"/>
      <c r="K672" s="132"/>
      <c r="L672" s="16"/>
      <c r="M672" s="149"/>
      <c r="N672" s="137"/>
      <c r="O672" s="118"/>
      <c r="P672" s="131"/>
      <c r="Q672" s="150"/>
    </row>
    <row r="673">
      <c r="A673" s="151"/>
      <c r="B673" s="121"/>
      <c r="C673" s="122"/>
      <c r="D673" s="123"/>
      <c r="E673" s="124"/>
      <c r="F673" s="122"/>
      <c r="G673" s="125"/>
      <c r="H673" s="122"/>
      <c r="I673" s="126"/>
      <c r="J673" s="152"/>
      <c r="K673" s="122"/>
      <c r="L673" s="45"/>
      <c r="M673" s="153"/>
      <c r="N673" s="128"/>
      <c r="O673" s="129"/>
      <c r="P673" s="121"/>
      <c r="Q673" s="154"/>
    </row>
    <row r="674">
      <c r="A674" s="147"/>
      <c r="B674" s="131"/>
      <c r="C674" s="132"/>
      <c r="D674" s="119"/>
      <c r="E674" s="133"/>
      <c r="F674" s="132"/>
      <c r="G674" s="134"/>
      <c r="H674" s="132"/>
      <c r="I674" s="135"/>
      <c r="J674" s="148"/>
      <c r="K674" s="132"/>
      <c r="L674" s="16"/>
      <c r="M674" s="149"/>
      <c r="N674" s="137"/>
      <c r="O674" s="118"/>
      <c r="P674" s="131"/>
      <c r="Q674" s="150"/>
    </row>
    <row r="675">
      <c r="A675" s="151"/>
      <c r="B675" s="121"/>
      <c r="C675" s="122"/>
      <c r="D675" s="123"/>
      <c r="E675" s="124"/>
      <c r="F675" s="122"/>
      <c r="G675" s="125"/>
      <c r="H675" s="122"/>
      <c r="I675" s="126"/>
      <c r="J675" s="152"/>
      <c r="K675" s="122"/>
      <c r="L675" s="45"/>
      <c r="M675" s="153"/>
      <c r="N675" s="128"/>
      <c r="O675" s="129"/>
      <c r="P675" s="121"/>
      <c r="Q675" s="154"/>
    </row>
    <row r="676">
      <c r="A676" s="147"/>
      <c r="B676" s="131"/>
      <c r="C676" s="132"/>
      <c r="D676" s="119"/>
      <c r="E676" s="133"/>
      <c r="F676" s="132"/>
      <c r="G676" s="134"/>
      <c r="H676" s="132"/>
      <c r="I676" s="135"/>
      <c r="J676" s="148"/>
      <c r="K676" s="132"/>
      <c r="L676" s="16"/>
      <c r="M676" s="149"/>
      <c r="N676" s="137"/>
      <c r="O676" s="118"/>
      <c r="P676" s="131"/>
      <c r="Q676" s="150"/>
    </row>
    <row r="677">
      <c r="A677" s="151"/>
      <c r="B677" s="121"/>
      <c r="C677" s="122"/>
      <c r="D677" s="123"/>
      <c r="E677" s="124"/>
      <c r="F677" s="122"/>
      <c r="G677" s="125"/>
      <c r="H677" s="122"/>
      <c r="I677" s="126"/>
      <c r="J677" s="152"/>
      <c r="K677" s="122"/>
      <c r="L677" s="45"/>
      <c r="M677" s="153"/>
      <c r="N677" s="128"/>
      <c r="O677" s="129"/>
      <c r="P677" s="121"/>
      <c r="Q677" s="154"/>
    </row>
    <row r="678">
      <c r="A678" s="147"/>
      <c r="B678" s="131"/>
      <c r="C678" s="132"/>
      <c r="D678" s="119"/>
      <c r="E678" s="133"/>
      <c r="F678" s="132"/>
      <c r="G678" s="134"/>
      <c r="H678" s="132"/>
      <c r="I678" s="135"/>
      <c r="J678" s="148"/>
      <c r="K678" s="132"/>
      <c r="L678" s="16"/>
      <c r="M678" s="149"/>
      <c r="N678" s="137"/>
      <c r="O678" s="118"/>
      <c r="P678" s="131"/>
      <c r="Q678" s="150"/>
    </row>
    <row r="679">
      <c r="A679" s="151"/>
      <c r="B679" s="121"/>
      <c r="C679" s="122"/>
      <c r="D679" s="123"/>
      <c r="E679" s="124"/>
      <c r="F679" s="122"/>
      <c r="G679" s="125"/>
      <c r="H679" s="122"/>
      <c r="I679" s="126"/>
      <c r="J679" s="152"/>
      <c r="K679" s="122"/>
      <c r="L679" s="45"/>
      <c r="M679" s="153"/>
      <c r="N679" s="128"/>
      <c r="O679" s="129"/>
      <c r="P679" s="121"/>
      <c r="Q679" s="154"/>
    </row>
    <row r="680">
      <c r="A680" s="147"/>
      <c r="B680" s="131"/>
      <c r="C680" s="132"/>
      <c r="D680" s="119"/>
      <c r="E680" s="133"/>
      <c r="F680" s="132"/>
      <c r="G680" s="134"/>
      <c r="H680" s="132"/>
      <c r="I680" s="135"/>
      <c r="J680" s="148"/>
      <c r="K680" s="132"/>
      <c r="L680" s="16"/>
      <c r="M680" s="149"/>
      <c r="N680" s="137"/>
      <c r="O680" s="118"/>
      <c r="P680" s="131"/>
      <c r="Q680" s="150"/>
    </row>
    <row r="681">
      <c r="A681" s="151"/>
      <c r="B681" s="121"/>
      <c r="C681" s="122"/>
      <c r="D681" s="123"/>
      <c r="E681" s="124"/>
      <c r="F681" s="122"/>
      <c r="G681" s="125"/>
      <c r="H681" s="122"/>
      <c r="I681" s="126"/>
      <c r="J681" s="152"/>
      <c r="K681" s="122"/>
      <c r="L681" s="45"/>
      <c r="M681" s="153"/>
      <c r="N681" s="128"/>
      <c r="O681" s="129"/>
      <c r="P681" s="121"/>
      <c r="Q681" s="154"/>
    </row>
    <row r="682">
      <c r="A682" s="147"/>
      <c r="B682" s="131"/>
      <c r="C682" s="132"/>
      <c r="D682" s="119"/>
      <c r="E682" s="133"/>
      <c r="F682" s="132"/>
      <c r="G682" s="134"/>
      <c r="H682" s="132"/>
      <c r="I682" s="135"/>
      <c r="J682" s="148"/>
      <c r="K682" s="132"/>
      <c r="L682" s="16"/>
      <c r="M682" s="149"/>
      <c r="N682" s="137"/>
      <c r="O682" s="118"/>
      <c r="P682" s="131"/>
      <c r="Q682" s="150"/>
    </row>
    <row r="683">
      <c r="A683" s="151"/>
      <c r="B683" s="121"/>
      <c r="C683" s="122"/>
      <c r="D683" s="123"/>
      <c r="E683" s="124"/>
      <c r="F683" s="122"/>
      <c r="G683" s="125"/>
      <c r="H683" s="122"/>
      <c r="I683" s="126"/>
      <c r="J683" s="152"/>
      <c r="K683" s="122"/>
      <c r="L683" s="45"/>
      <c r="M683" s="153"/>
      <c r="N683" s="128"/>
      <c r="O683" s="129"/>
      <c r="P683" s="121"/>
      <c r="Q683" s="154"/>
    </row>
    <row r="684">
      <c r="A684" s="147"/>
      <c r="B684" s="131"/>
      <c r="C684" s="132"/>
      <c r="D684" s="119"/>
      <c r="E684" s="133"/>
      <c r="F684" s="132"/>
      <c r="G684" s="134"/>
      <c r="H684" s="132"/>
      <c r="I684" s="135"/>
      <c r="J684" s="148"/>
      <c r="K684" s="132"/>
      <c r="L684" s="16"/>
      <c r="M684" s="149"/>
      <c r="N684" s="137"/>
      <c r="O684" s="118"/>
      <c r="P684" s="131"/>
      <c r="Q684" s="150"/>
    </row>
    <row r="685">
      <c r="A685" s="151"/>
      <c r="B685" s="121"/>
      <c r="C685" s="122"/>
      <c r="D685" s="123"/>
      <c r="E685" s="124"/>
      <c r="F685" s="122"/>
      <c r="G685" s="125"/>
      <c r="H685" s="122"/>
      <c r="I685" s="126"/>
      <c r="J685" s="152"/>
      <c r="K685" s="122"/>
      <c r="L685" s="45"/>
      <c r="M685" s="153"/>
      <c r="N685" s="128"/>
      <c r="O685" s="129"/>
      <c r="P685" s="121"/>
      <c r="Q685" s="154"/>
    </row>
    <row r="686">
      <c r="A686" s="147"/>
      <c r="B686" s="131"/>
      <c r="C686" s="132"/>
      <c r="D686" s="119"/>
      <c r="E686" s="133"/>
      <c r="F686" s="132"/>
      <c r="G686" s="134"/>
      <c r="H686" s="132"/>
      <c r="I686" s="135"/>
      <c r="J686" s="148"/>
      <c r="K686" s="132"/>
      <c r="L686" s="16"/>
      <c r="M686" s="149"/>
      <c r="N686" s="137"/>
      <c r="O686" s="118"/>
      <c r="P686" s="131"/>
      <c r="Q686" s="150"/>
    </row>
    <row r="687">
      <c r="A687" s="151"/>
      <c r="B687" s="121"/>
      <c r="C687" s="122"/>
      <c r="D687" s="123"/>
      <c r="E687" s="124"/>
      <c r="F687" s="122"/>
      <c r="G687" s="125"/>
      <c r="H687" s="122"/>
      <c r="I687" s="126"/>
      <c r="J687" s="152"/>
      <c r="K687" s="122"/>
      <c r="L687" s="45"/>
      <c r="M687" s="153"/>
      <c r="N687" s="128"/>
      <c r="O687" s="129"/>
      <c r="P687" s="121"/>
      <c r="Q687" s="154"/>
    </row>
    <row r="688">
      <c r="A688" s="147"/>
      <c r="B688" s="131"/>
      <c r="C688" s="132"/>
      <c r="D688" s="119"/>
      <c r="E688" s="133"/>
      <c r="F688" s="132"/>
      <c r="G688" s="134"/>
      <c r="H688" s="132"/>
      <c r="I688" s="135"/>
      <c r="J688" s="148"/>
      <c r="K688" s="132"/>
      <c r="L688" s="16"/>
      <c r="M688" s="149"/>
      <c r="N688" s="137"/>
      <c r="O688" s="118"/>
      <c r="P688" s="131"/>
      <c r="Q688" s="150"/>
    </row>
    <row r="689">
      <c r="A689" s="151"/>
      <c r="B689" s="121"/>
      <c r="C689" s="122"/>
      <c r="D689" s="123"/>
      <c r="E689" s="124"/>
      <c r="F689" s="122"/>
      <c r="G689" s="125"/>
      <c r="H689" s="122"/>
      <c r="I689" s="126"/>
      <c r="J689" s="152"/>
      <c r="K689" s="122"/>
      <c r="L689" s="45"/>
      <c r="M689" s="153"/>
      <c r="N689" s="128"/>
      <c r="O689" s="129"/>
      <c r="P689" s="121"/>
      <c r="Q689" s="154"/>
    </row>
    <row r="690">
      <c r="A690" s="147"/>
      <c r="B690" s="131"/>
      <c r="C690" s="132"/>
      <c r="D690" s="119"/>
      <c r="E690" s="133"/>
      <c r="F690" s="132"/>
      <c r="G690" s="134"/>
      <c r="H690" s="132"/>
      <c r="I690" s="135"/>
      <c r="J690" s="148"/>
      <c r="K690" s="132"/>
      <c r="L690" s="16"/>
      <c r="M690" s="149"/>
      <c r="N690" s="137"/>
      <c r="O690" s="118"/>
      <c r="P690" s="131"/>
      <c r="Q690" s="150"/>
    </row>
    <row r="691">
      <c r="A691" s="151"/>
      <c r="B691" s="121"/>
      <c r="C691" s="122"/>
      <c r="D691" s="123"/>
      <c r="E691" s="124"/>
      <c r="F691" s="122"/>
      <c r="G691" s="125"/>
      <c r="H691" s="122"/>
      <c r="I691" s="126"/>
      <c r="J691" s="152"/>
      <c r="K691" s="122"/>
      <c r="L691" s="45"/>
      <c r="M691" s="153"/>
      <c r="N691" s="128"/>
      <c r="O691" s="129"/>
      <c r="P691" s="121"/>
      <c r="Q691" s="154"/>
    </row>
    <row r="692">
      <c r="A692" s="147"/>
      <c r="B692" s="131"/>
      <c r="C692" s="132"/>
      <c r="D692" s="119"/>
      <c r="E692" s="133"/>
      <c r="F692" s="132"/>
      <c r="G692" s="134"/>
      <c r="H692" s="132"/>
      <c r="I692" s="135"/>
      <c r="J692" s="148"/>
      <c r="K692" s="132"/>
      <c r="L692" s="16"/>
      <c r="M692" s="149"/>
      <c r="N692" s="137"/>
      <c r="O692" s="118"/>
      <c r="P692" s="131"/>
      <c r="Q692" s="150"/>
    </row>
    <row r="693">
      <c r="A693" s="151"/>
      <c r="B693" s="121"/>
      <c r="C693" s="122"/>
      <c r="D693" s="123"/>
      <c r="E693" s="124"/>
      <c r="F693" s="122"/>
      <c r="G693" s="125"/>
      <c r="H693" s="122"/>
      <c r="I693" s="126"/>
      <c r="J693" s="152"/>
      <c r="K693" s="122"/>
      <c r="L693" s="45"/>
      <c r="M693" s="153"/>
      <c r="N693" s="128"/>
      <c r="O693" s="129"/>
      <c r="P693" s="121"/>
      <c r="Q693" s="154"/>
    </row>
    <row r="694">
      <c r="A694" s="147"/>
      <c r="B694" s="131"/>
      <c r="C694" s="132"/>
      <c r="D694" s="119"/>
      <c r="E694" s="133"/>
      <c r="F694" s="132"/>
      <c r="G694" s="134"/>
      <c r="H694" s="132"/>
      <c r="I694" s="135"/>
      <c r="J694" s="148"/>
      <c r="K694" s="132"/>
      <c r="L694" s="16"/>
      <c r="M694" s="149"/>
      <c r="N694" s="137"/>
      <c r="O694" s="118"/>
      <c r="P694" s="131"/>
      <c r="Q694" s="150"/>
    </row>
    <row r="695">
      <c r="A695" s="151"/>
      <c r="B695" s="121"/>
      <c r="C695" s="122"/>
      <c r="D695" s="123"/>
      <c r="E695" s="124"/>
      <c r="F695" s="122"/>
      <c r="G695" s="125"/>
      <c r="H695" s="122"/>
      <c r="I695" s="126"/>
      <c r="J695" s="152"/>
      <c r="K695" s="122"/>
      <c r="L695" s="45"/>
      <c r="M695" s="153"/>
      <c r="N695" s="128"/>
      <c r="O695" s="129"/>
      <c r="P695" s="121"/>
      <c r="Q695" s="154"/>
    </row>
    <row r="696">
      <c r="A696" s="147"/>
      <c r="B696" s="131"/>
      <c r="C696" s="132"/>
      <c r="D696" s="119"/>
      <c r="E696" s="133"/>
      <c r="F696" s="132"/>
      <c r="G696" s="134"/>
      <c r="H696" s="132"/>
      <c r="I696" s="135"/>
      <c r="J696" s="148"/>
      <c r="K696" s="132"/>
      <c r="L696" s="16"/>
      <c r="M696" s="149"/>
      <c r="N696" s="137"/>
      <c r="O696" s="118"/>
      <c r="P696" s="131"/>
      <c r="Q696" s="150"/>
    </row>
    <row r="697">
      <c r="A697" s="151"/>
      <c r="B697" s="121"/>
      <c r="C697" s="122"/>
      <c r="D697" s="123"/>
      <c r="E697" s="124"/>
      <c r="F697" s="122"/>
      <c r="G697" s="125"/>
      <c r="H697" s="122"/>
      <c r="I697" s="126"/>
      <c r="J697" s="152"/>
      <c r="K697" s="122"/>
      <c r="L697" s="45"/>
      <c r="M697" s="153"/>
      <c r="N697" s="128"/>
      <c r="O697" s="129"/>
      <c r="P697" s="121"/>
      <c r="Q697" s="154"/>
    </row>
    <row r="698">
      <c r="A698" s="147"/>
      <c r="B698" s="131"/>
      <c r="C698" s="132"/>
      <c r="D698" s="119"/>
      <c r="E698" s="133"/>
      <c r="F698" s="132"/>
      <c r="G698" s="134"/>
      <c r="H698" s="132"/>
      <c r="I698" s="135"/>
      <c r="J698" s="148"/>
      <c r="K698" s="132"/>
      <c r="L698" s="16"/>
      <c r="M698" s="149"/>
      <c r="N698" s="137"/>
      <c r="O698" s="118"/>
      <c r="P698" s="131"/>
      <c r="Q698" s="150"/>
    </row>
    <row r="699">
      <c r="A699" s="151"/>
      <c r="B699" s="121"/>
      <c r="C699" s="122"/>
      <c r="D699" s="123"/>
      <c r="E699" s="124"/>
      <c r="F699" s="122"/>
      <c r="G699" s="125"/>
      <c r="H699" s="122"/>
      <c r="I699" s="126"/>
      <c r="J699" s="152"/>
      <c r="K699" s="122"/>
      <c r="L699" s="45"/>
      <c r="M699" s="153"/>
      <c r="N699" s="128"/>
      <c r="O699" s="129"/>
      <c r="P699" s="121"/>
      <c r="Q699" s="154"/>
    </row>
    <row r="700">
      <c r="A700" s="147"/>
      <c r="B700" s="131"/>
      <c r="C700" s="132"/>
      <c r="D700" s="119"/>
      <c r="E700" s="133"/>
      <c r="F700" s="132"/>
      <c r="G700" s="134"/>
      <c r="H700" s="132"/>
      <c r="I700" s="135"/>
      <c r="J700" s="148"/>
      <c r="K700" s="132"/>
      <c r="L700" s="16"/>
      <c r="M700" s="149"/>
      <c r="N700" s="137"/>
      <c r="O700" s="118"/>
      <c r="P700" s="131"/>
      <c r="Q700" s="150"/>
    </row>
    <row r="701">
      <c r="A701" s="151"/>
      <c r="B701" s="121"/>
      <c r="C701" s="122"/>
      <c r="D701" s="123"/>
      <c r="E701" s="124"/>
      <c r="F701" s="122"/>
      <c r="G701" s="125"/>
      <c r="H701" s="122"/>
      <c r="I701" s="126"/>
      <c r="J701" s="152"/>
      <c r="K701" s="122"/>
      <c r="L701" s="45"/>
      <c r="M701" s="153"/>
      <c r="N701" s="128"/>
      <c r="O701" s="129"/>
      <c r="P701" s="121"/>
      <c r="Q701" s="154"/>
    </row>
    <row r="702">
      <c r="A702" s="147"/>
      <c r="B702" s="131"/>
      <c r="C702" s="132"/>
      <c r="D702" s="119"/>
      <c r="E702" s="133"/>
      <c r="F702" s="132"/>
      <c r="G702" s="134"/>
      <c r="H702" s="132"/>
      <c r="I702" s="135"/>
      <c r="J702" s="148"/>
      <c r="K702" s="132"/>
      <c r="L702" s="16"/>
      <c r="M702" s="149"/>
      <c r="N702" s="137"/>
      <c r="O702" s="118"/>
      <c r="P702" s="131"/>
      <c r="Q702" s="150"/>
    </row>
    <row r="703">
      <c r="A703" s="151"/>
      <c r="B703" s="121"/>
      <c r="C703" s="122"/>
      <c r="D703" s="123"/>
      <c r="E703" s="124"/>
      <c r="F703" s="122"/>
      <c r="G703" s="125"/>
      <c r="H703" s="122"/>
      <c r="I703" s="126"/>
      <c r="J703" s="152"/>
      <c r="K703" s="122"/>
      <c r="L703" s="45"/>
      <c r="M703" s="153"/>
      <c r="N703" s="128"/>
      <c r="O703" s="129"/>
      <c r="P703" s="121"/>
      <c r="Q703" s="154"/>
    </row>
    <row r="704">
      <c r="A704" s="147"/>
      <c r="B704" s="131"/>
      <c r="C704" s="132"/>
      <c r="D704" s="119"/>
      <c r="E704" s="133"/>
      <c r="F704" s="132"/>
      <c r="G704" s="134"/>
      <c r="H704" s="132"/>
      <c r="I704" s="135"/>
      <c r="J704" s="148"/>
      <c r="K704" s="132"/>
      <c r="L704" s="16"/>
      <c r="M704" s="149"/>
      <c r="N704" s="137"/>
      <c r="O704" s="118"/>
      <c r="P704" s="131"/>
      <c r="Q704" s="150"/>
    </row>
    <row r="705">
      <c r="A705" s="151"/>
      <c r="B705" s="121"/>
      <c r="C705" s="122"/>
      <c r="D705" s="123"/>
      <c r="E705" s="124"/>
      <c r="F705" s="122"/>
      <c r="G705" s="125"/>
      <c r="H705" s="122"/>
      <c r="I705" s="126"/>
      <c r="J705" s="152"/>
      <c r="K705" s="122"/>
      <c r="L705" s="45"/>
      <c r="M705" s="153"/>
      <c r="N705" s="128"/>
      <c r="O705" s="129"/>
      <c r="P705" s="121"/>
      <c r="Q705" s="154"/>
    </row>
    <row r="706">
      <c r="A706" s="147"/>
      <c r="B706" s="131"/>
      <c r="C706" s="132"/>
      <c r="D706" s="119"/>
      <c r="E706" s="133"/>
      <c r="F706" s="132"/>
      <c r="G706" s="134"/>
      <c r="H706" s="132"/>
      <c r="I706" s="135"/>
      <c r="J706" s="148"/>
      <c r="K706" s="132"/>
      <c r="L706" s="16"/>
      <c r="M706" s="149"/>
      <c r="N706" s="137"/>
      <c r="O706" s="118"/>
      <c r="P706" s="131"/>
      <c r="Q706" s="150"/>
    </row>
    <row r="707">
      <c r="A707" s="151"/>
      <c r="B707" s="121"/>
      <c r="C707" s="122"/>
      <c r="D707" s="123"/>
      <c r="E707" s="124"/>
      <c r="F707" s="122"/>
      <c r="G707" s="125"/>
      <c r="H707" s="122"/>
      <c r="I707" s="126"/>
      <c r="J707" s="152"/>
      <c r="K707" s="122"/>
      <c r="L707" s="45"/>
      <c r="M707" s="153"/>
      <c r="N707" s="128"/>
      <c r="O707" s="129"/>
      <c r="P707" s="121"/>
      <c r="Q707" s="154"/>
    </row>
    <row r="708">
      <c r="A708" s="147"/>
      <c r="B708" s="131"/>
      <c r="C708" s="132"/>
      <c r="D708" s="119"/>
      <c r="E708" s="133"/>
      <c r="F708" s="132"/>
      <c r="G708" s="134"/>
      <c r="H708" s="132"/>
      <c r="I708" s="135"/>
      <c r="J708" s="148"/>
      <c r="K708" s="132"/>
      <c r="L708" s="16"/>
      <c r="M708" s="149"/>
      <c r="N708" s="137"/>
      <c r="O708" s="118"/>
      <c r="P708" s="131"/>
      <c r="Q708" s="150"/>
    </row>
    <row r="709">
      <c r="A709" s="151"/>
      <c r="B709" s="121"/>
      <c r="C709" s="122"/>
      <c r="D709" s="123"/>
      <c r="E709" s="124"/>
      <c r="F709" s="122"/>
      <c r="G709" s="125"/>
      <c r="H709" s="122"/>
      <c r="I709" s="126"/>
      <c r="J709" s="152"/>
      <c r="K709" s="122"/>
      <c r="L709" s="45"/>
      <c r="M709" s="153"/>
      <c r="N709" s="128"/>
      <c r="O709" s="129"/>
      <c r="P709" s="121"/>
      <c r="Q709" s="154"/>
    </row>
    <row r="710">
      <c r="A710" s="147"/>
      <c r="B710" s="131"/>
      <c r="C710" s="132"/>
      <c r="D710" s="119"/>
      <c r="E710" s="133"/>
      <c r="F710" s="132"/>
      <c r="G710" s="134"/>
      <c r="H710" s="132"/>
      <c r="I710" s="135"/>
      <c r="J710" s="148"/>
      <c r="K710" s="132"/>
      <c r="L710" s="16"/>
      <c r="M710" s="149"/>
      <c r="N710" s="137"/>
      <c r="O710" s="118"/>
      <c r="P710" s="131"/>
      <c r="Q710" s="150"/>
    </row>
    <row r="711">
      <c r="A711" s="151"/>
      <c r="B711" s="121"/>
      <c r="C711" s="122"/>
      <c r="D711" s="123"/>
      <c r="E711" s="124"/>
      <c r="F711" s="122"/>
      <c r="G711" s="125"/>
      <c r="H711" s="122"/>
      <c r="I711" s="126"/>
      <c r="J711" s="152"/>
      <c r="K711" s="122"/>
      <c r="L711" s="45"/>
      <c r="M711" s="153"/>
      <c r="N711" s="128"/>
      <c r="O711" s="129"/>
      <c r="P711" s="121"/>
      <c r="Q711" s="154"/>
    </row>
    <row r="712">
      <c r="A712" s="147"/>
      <c r="B712" s="131"/>
      <c r="C712" s="132"/>
      <c r="D712" s="119"/>
      <c r="E712" s="133"/>
      <c r="F712" s="132"/>
      <c r="G712" s="134"/>
      <c r="H712" s="132"/>
      <c r="I712" s="135"/>
      <c r="J712" s="148"/>
      <c r="K712" s="132"/>
      <c r="L712" s="16"/>
      <c r="M712" s="149"/>
      <c r="N712" s="137"/>
      <c r="O712" s="118"/>
      <c r="P712" s="131"/>
      <c r="Q712" s="150"/>
    </row>
    <row r="713">
      <c r="A713" s="151"/>
      <c r="B713" s="121"/>
      <c r="C713" s="122"/>
      <c r="D713" s="123"/>
      <c r="E713" s="124"/>
      <c r="F713" s="122"/>
      <c r="G713" s="125"/>
      <c r="H713" s="122"/>
      <c r="I713" s="126"/>
      <c r="J713" s="152"/>
      <c r="K713" s="122"/>
      <c r="L713" s="45"/>
      <c r="M713" s="153"/>
      <c r="N713" s="128"/>
      <c r="O713" s="129"/>
      <c r="P713" s="121"/>
      <c r="Q713" s="154"/>
    </row>
    <row r="714">
      <c r="A714" s="147"/>
      <c r="B714" s="131"/>
      <c r="C714" s="132"/>
      <c r="D714" s="119"/>
      <c r="E714" s="133"/>
      <c r="F714" s="132"/>
      <c r="G714" s="134"/>
      <c r="H714" s="132"/>
      <c r="I714" s="135"/>
      <c r="J714" s="148"/>
      <c r="K714" s="132"/>
      <c r="L714" s="16"/>
      <c r="M714" s="149"/>
      <c r="N714" s="137"/>
      <c r="O714" s="118"/>
      <c r="P714" s="131"/>
      <c r="Q714" s="150"/>
    </row>
    <row r="715">
      <c r="A715" s="151"/>
      <c r="B715" s="121"/>
      <c r="C715" s="122"/>
      <c r="D715" s="123"/>
      <c r="E715" s="124"/>
      <c r="F715" s="122"/>
      <c r="G715" s="125"/>
      <c r="H715" s="122"/>
      <c r="I715" s="126"/>
      <c r="J715" s="152"/>
      <c r="K715" s="122"/>
      <c r="L715" s="45"/>
      <c r="M715" s="153"/>
      <c r="N715" s="128"/>
      <c r="O715" s="129"/>
      <c r="P715" s="121"/>
      <c r="Q715" s="154"/>
    </row>
    <row r="716">
      <c r="A716" s="147"/>
      <c r="B716" s="131"/>
      <c r="C716" s="132"/>
      <c r="D716" s="119"/>
      <c r="E716" s="133"/>
      <c r="F716" s="132"/>
      <c r="G716" s="134"/>
      <c r="H716" s="132"/>
      <c r="I716" s="135"/>
      <c r="J716" s="148"/>
      <c r="K716" s="132"/>
      <c r="L716" s="16"/>
      <c r="M716" s="149"/>
      <c r="N716" s="137"/>
      <c r="O716" s="118"/>
      <c r="P716" s="131"/>
      <c r="Q716" s="150"/>
    </row>
    <row r="717">
      <c r="A717" s="151"/>
      <c r="B717" s="121"/>
      <c r="C717" s="122"/>
      <c r="D717" s="123"/>
      <c r="E717" s="124"/>
      <c r="F717" s="122"/>
      <c r="G717" s="125"/>
      <c r="H717" s="122"/>
      <c r="I717" s="126"/>
      <c r="J717" s="152"/>
      <c r="K717" s="122"/>
      <c r="L717" s="45"/>
      <c r="M717" s="153"/>
      <c r="N717" s="128"/>
      <c r="O717" s="129"/>
      <c r="P717" s="121"/>
      <c r="Q717" s="154"/>
    </row>
    <row r="718">
      <c r="A718" s="147"/>
      <c r="B718" s="131"/>
      <c r="C718" s="132"/>
      <c r="D718" s="119"/>
      <c r="E718" s="133"/>
      <c r="F718" s="132"/>
      <c r="G718" s="134"/>
      <c r="H718" s="132"/>
      <c r="I718" s="135"/>
      <c r="J718" s="148"/>
      <c r="K718" s="132"/>
      <c r="L718" s="16"/>
      <c r="M718" s="149"/>
      <c r="N718" s="137"/>
      <c r="O718" s="118"/>
      <c r="P718" s="131"/>
      <c r="Q718" s="150"/>
    </row>
    <row r="719">
      <c r="A719" s="151"/>
      <c r="B719" s="121"/>
      <c r="C719" s="122"/>
      <c r="D719" s="123"/>
      <c r="E719" s="124"/>
      <c r="F719" s="122"/>
      <c r="G719" s="125"/>
      <c r="H719" s="122"/>
      <c r="I719" s="126"/>
      <c r="J719" s="152"/>
      <c r="K719" s="122"/>
      <c r="L719" s="45"/>
      <c r="M719" s="153"/>
      <c r="N719" s="128"/>
      <c r="O719" s="129"/>
      <c r="P719" s="121"/>
      <c r="Q719" s="154"/>
    </row>
    <row r="720">
      <c r="A720" s="147"/>
      <c r="B720" s="131"/>
      <c r="C720" s="132"/>
      <c r="D720" s="119"/>
      <c r="E720" s="133"/>
      <c r="F720" s="132"/>
      <c r="G720" s="134"/>
      <c r="H720" s="132"/>
      <c r="I720" s="135"/>
      <c r="J720" s="148"/>
      <c r="K720" s="132"/>
      <c r="L720" s="16"/>
      <c r="M720" s="149"/>
      <c r="N720" s="137"/>
      <c r="O720" s="118"/>
      <c r="P720" s="131"/>
      <c r="Q720" s="150"/>
    </row>
    <row r="721">
      <c r="A721" s="151"/>
      <c r="B721" s="121"/>
      <c r="C721" s="122"/>
      <c r="D721" s="123"/>
      <c r="E721" s="124"/>
      <c r="F721" s="122"/>
      <c r="G721" s="125"/>
      <c r="H721" s="122"/>
      <c r="I721" s="126"/>
      <c r="J721" s="152"/>
      <c r="K721" s="122"/>
      <c r="L721" s="45"/>
      <c r="M721" s="153"/>
      <c r="N721" s="128"/>
      <c r="O721" s="129"/>
      <c r="P721" s="121"/>
      <c r="Q721" s="154"/>
    </row>
    <row r="722">
      <c r="A722" s="147"/>
      <c r="B722" s="131"/>
      <c r="C722" s="132"/>
      <c r="D722" s="119"/>
      <c r="E722" s="133"/>
      <c r="F722" s="132"/>
      <c r="G722" s="134"/>
      <c r="H722" s="132"/>
      <c r="I722" s="135"/>
      <c r="J722" s="148"/>
      <c r="K722" s="132"/>
      <c r="L722" s="16"/>
      <c r="M722" s="149"/>
      <c r="N722" s="137"/>
      <c r="O722" s="118"/>
      <c r="P722" s="131"/>
      <c r="Q722" s="150"/>
    </row>
    <row r="723">
      <c r="A723" s="151"/>
      <c r="B723" s="121"/>
      <c r="C723" s="122"/>
      <c r="D723" s="123"/>
      <c r="E723" s="124"/>
      <c r="F723" s="122"/>
      <c r="G723" s="125"/>
      <c r="H723" s="122"/>
      <c r="I723" s="126"/>
      <c r="J723" s="152"/>
      <c r="K723" s="122"/>
      <c r="L723" s="45"/>
      <c r="M723" s="153"/>
      <c r="N723" s="128"/>
      <c r="O723" s="129"/>
      <c r="P723" s="121"/>
      <c r="Q723" s="154"/>
    </row>
    <row r="724">
      <c r="A724" s="147"/>
      <c r="B724" s="131"/>
      <c r="C724" s="132"/>
      <c r="D724" s="119"/>
      <c r="E724" s="133"/>
      <c r="F724" s="132"/>
      <c r="G724" s="134"/>
      <c r="H724" s="132"/>
      <c r="I724" s="135"/>
      <c r="J724" s="148"/>
      <c r="K724" s="132"/>
      <c r="L724" s="16"/>
      <c r="M724" s="149"/>
      <c r="N724" s="137"/>
      <c r="O724" s="118"/>
      <c r="P724" s="131"/>
      <c r="Q724" s="150"/>
    </row>
    <row r="725">
      <c r="A725" s="151"/>
      <c r="B725" s="121"/>
      <c r="C725" s="122"/>
      <c r="D725" s="123"/>
      <c r="E725" s="124"/>
      <c r="F725" s="122"/>
      <c r="G725" s="125"/>
      <c r="H725" s="122"/>
      <c r="I725" s="126"/>
      <c r="J725" s="152"/>
      <c r="K725" s="122"/>
      <c r="L725" s="45"/>
      <c r="M725" s="153"/>
      <c r="N725" s="128"/>
      <c r="O725" s="129"/>
      <c r="P725" s="121"/>
      <c r="Q725" s="154"/>
    </row>
    <row r="726">
      <c r="A726" s="147"/>
      <c r="B726" s="131"/>
      <c r="C726" s="132"/>
      <c r="D726" s="119"/>
      <c r="E726" s="133"/>
      <c r="F726" s="132"/>
      <c r="G726" s="134"/>
      <c r="H726" s="132"/>
      <c r="I726" s="135"/>
      <c r="J726" s="148"/>
      <c r="K726" s="132"/>
      <c r="L726" s="16"/>
      <c r="M726" s="149"/>
      <c r="N726" s="137"/>
      <c r="O726" s="118"/>
      <c r="P726" s="131"/>
      <c r="Q726" s="150"/>
    </row>
    <row r="727">
      <c r="A727" s="151"/>
      <c r="B727" s="121"/>
      <c r="C727" s="122"/>
      <c r="D727" s="123"/>
      <c r="E727" s="124"/>
      <c r="F727" s="122"/>
      <c r="G727" s="125"/>
      <c r="H727" s="122"/>
      <c r="I727" s="126"/>
      <c r="J727" s="152"/>
      <c r="K727" s="122"/>
      <c r="L727" s="45"/>
      <c r="M727" s="153"/>
      <c r="N727" s="128"/>
      <c r="O727" s="129"/>
      <c r="P727" s="121"/>
      <c r="Q727" s="154"/>
    </row>
    <row r="728">
      <c r="A728" s="147"/>
      <c r="B728" s="131"/>
      <c r="C728" s="132"/>
      <c r="D728" s="119"/>
      <c r="E728" s="133"/>
      <c r="F728" s="132"/>
      <c r="G728" s="134"/>
      <c r="H728" s="132"/>
      <c r="I728" s="135"/>
      <c r="J728" s="148"/>
      <c r="K728" s="132"/>
      <c r="L728" s="16"/>
      <c r="M728" s="149"/>
      <c r="N728" s="137"/>
      <c r="O728" s="118"/>
      <c r="P728" s="131"/>
      <c r="Q728" s="150"/>
    </row>
    <row r="729">
      <c r="A729" s="151"/>
      <c r="B729" s="121"/>
      <c r="C729" s="122"/>
      <c r="D729" s="123"/>
      <c r="E729" s="124"/>
      <c r="F729" s="122"/>
      <c r="G729" s="125"/>
      <c r="H729" s="122"/>
      <c r="I729" s="126"/>
      <c r="J729" s="152"/>
      <c r="K729" s="122"/>
      <c r="L729" s="45"/>
      <c r="M729" s="153"/>
      <c r="N729" s="128"/>
      <c r="O729" s="129"/>
      <c r="P729" s="121"/>
      <c r="Q729" s="154"/>
    </row>
    <row r="730">
      <c r="A730" s="147"/>
      <c r="B730" s="131"/>
      <c r="C730" s="132"/>
      <c r="D730" s="119"/>
      <c r="E730" s="133"/>
      <c r="F730" s="132"/>
      <c r="G730" s="134"/>
      <c r="H730" s="132"/>
      <c r="I730" s="135"/>
      <c r="J730" s="148"/>
      <c r="K730" s="132"/>
      <c r="L730" s="16"/>
      <c r="M730" s="149"/>
      <c r="N730" s="137"/>
      <c r="O730" s="118"/>
      <c r="P730" s="131"/>
      <c r="Q730" s="150"/>
    </row>
    <row r="731">
      <c r="A731" s="151"/>
      <c r="B731" s="121"/>
      <c r="C731" s="122"/>
      <c r="D731" s="123"/>
      <c r="E731" s="124"/>
      <c r="F731" s="122"/>
      <c r="G731" s="125"/>
      <c r="H731" s="122"/>
      <c r="I731" s="126"/>
      <c r="J731" s="152"/>
      <c r="K731" s="122"/>
      <c r="L731" s="45"/>
      <c r="M731" s="153"/>
      <c r="N731" s="128"/>
      <c r="O731" s="129"/>
      <c r="P731" s="121"/>
      <c r="Q731" s="154"/>
    </row>
    <row r="732">
      <c r="A732" s="147"/>
      <c r="B732" s="131"/>
      <c r="C732" s="132"/>
      <c r="D732" s="119"/>
      <c r="E732" s="133"/>
      <c r="F732" s="132"/>
      <c r="G732" s="134"/>
      <c r="H732" s="132"/>
      <c r="I732" s="135"/>
      <c r="J732" s="148"/>
      <c r="K732" s="132"/>
      <c r="L732" s="16"/>
      <c r="M732" s="149"/>
      <c r="N732" s="137"/>
      <c r="O732" s="118"/>
      <c r="P732" s="131"/>
      <c r="Q732" s="150"/>
    </row>
    <row r="733">
      <c r="A733" s="151"/>
      <c r="B733" s="121"/>
      <c r="C733" s="122"/>
      <c r="D733" s="123"/>
      <c r="E733" s="124"/>
      <c r="F733" s="122"/>
      <c r="G733" s="125"/>
      <c r="H733" s="122"/>
      <c r="I733" s="126"/>
      <c r="J733" s="152"/>
      <c r="K733" s="122"/>
      <c r="L733" s="45"/>
      <c r="M733" s="153"/>
      <c r="N733" s="128"/>
      <c r="O733" s="129"/>
      <c r="P733" s="121"/>
      <c r="Q733" s="154"/>
    </row>
    <row r="734">
      <c r="A734" s="147"/>
      <c r="B734" s="131"/>
      <c r="C734" s="132"/>
      <c r="D734" s="119"/>
      <c r="E734" s="133"/>
      <c r="F734" s="132"/>
      <c r="G734" s="134"/>
      <c r="H734" s="132"/>
      <c r="I734" s="135"/>
      <c r="J734" s="148"/>
      <c r="K734" s="132"/>
      <c r="L734" s="16"/>
      <c r="M734" s="149"/>
      <c r="N734" s="137"/>
      <c r="O734" s="118"/>
      <c r="P734" s="131"/>
      <c r="Q734" s="150"/>
    </row>
    <row r="735">
      <c r="A735" s="151"/>
      <c r="B735" s="121"/>
      <c r="C735" s="122"/>
      <c r="D735" s="123"/>
      <c r="E735" s="124"/>
      <c r="F735" s="122"/>
      <c r="G735" s="125"/>
      <c r="H735" s="122"/>
      <c r="I735" s="126"/>
      <c r="J735" s="152"/>
      <c r="K735" s="122"/>
      <c r="L735" s="45"/>
      <c r="M735" s="153"/>
      <c r="N735" s="128"/>
      <c r="O735" s="129"/>
      <c r="P735" s="121"/>
      <c r="Q735" s="154"/>
    </row>
    <row r="736">
      <c r="A736" s="147"/>
      <c r="B736" s="131"/>
      <c r="C736" s="132"/>
      <c r="D736" s="119"/>
      <c r="E736" s="133"/>
      <c r="F736" s="132"/>
      <c r="G736" s="134"/>
      <c r="H736" s="132"/>
      <c r="I736" s="135"/>
      <c r="J736" s="148"/>
      <c r="K736" s="132"/>
      <c r="L736" s="16"/>
      <c r="M736" s="149"/>
      <c r="N736" s="137"/>
      <c r="O736" s="118"/>
      <c r="P736" s="131"/>
      <c r="Q736" s="150"/>
    </row>
    <row r="737">
      <c r="A737" s="151"/>
      <c r="B737" s="121"/>
      <c r="C737" s="122"/>
      <c r="D737" s="123"/>
      <c r="E737" s="124"/>
      <c r="F737" s="122"/>
      <c r="G737" s="125"/>
      <c r="H737" s="122"/>
      <c r="I737" s="126"/>
      <c r="J737" s="152"/>
      <c r="K737" s="122"/>
      <c r="L737" s="45"/>
      <c r="M737" s="153"/>
      <c r="N737" s="128"/>
      <c r="O737" s="129"/>
      <c r="P737" s="121"/>
      <c r="Q737" s="154"/>
    </row>
    <row r="738">
      <c r="A738" s="147"/>
      <c r="B738" s="131"/>
      <c r="C738" s="132"/>
      <c r="D738" s="119"/>
      <c r="E738" s="133"/>
      <c r="F738" s="132"/>
      <c r="G738" s="134"/>
      <c r="H738" s="132"/>
      <c r="I738" s="135"/>
      <c r="J738" s="148"/>
      <c r="K738" s="132"/>
      <c r="L738" s="16"/>
      <c r="M738" s="149"/>
      <c r="N738" s="137"/>
      <c r="O738" s="118"/>
      <c r="P738" s="131"/>
      <c r="Q738" s="150"/>
    </row>
    <row r="739">
      <c r="A739" s="151"/>
      <c r="B739" s="121"/>
      <c r="C739" s="122"/>
      <c r="D739" s="123"/>
      <c r="E739" s="124"/>
      <c r="F739" s="122"/>
      <c r="G739" s="125"/>
      <c r="H739" s="122"/>
      <c r="I739" s="126"/>
      <c r="J739" s="152"/>
      <c r="K739" s="122"/>
      <c r="L739" s="45"/>
      <c r="M739" s="153"/>
      <c r="N739" s="128"/>
      <c r="O739" s="129"/>
      <c r="P739" s="121"/>
      <c r="Q739" s="154"/>
    </row>
    <row r="740">
      <c r="A740" s="147"/>
      <c r="B740" s="131"/>
      <c r="C740" s="132"/>
      <c r="D740" s="119"/>
      <c r="E740" s="133"/>
      <c r="F740" s="132"/>
      <c r="G740" s="134"/>
      <c r="H740" s="132"/>
      <c r="I740" s="135"/>
      <c r="J740" s="148"/>
      <c r="K740" s="132"/>
      <c r="L740" s="16"/>
      <c r="M740" s="149"/>
      <c r="N740" s="137"/>
      <c r="O740" s="118"/>
      <c r="P740" s="131"/>
      <c r="Q740" s="150"/>
    </row>
    <row r="741">
      <c r="A741" s="151"/>
      <c r="B741" s="121"/>
      <c r="C741" s="122"/>
      <c r="D741" s="123"/>
      <c r="E741" s="124"/>
      <c r="F741" s="122"/>
      <c r="G741" s="125"/>
      <c r="H741" s="122"/>
      <c r="I741" s="126"/>
      <c r="J741" s="152"/>
      <c r="K741" s="122"/>
      <c r="L741" s="45"/>
      <c r="M741" s="153"/>
      <c r="N741" s="128"/>
      <c r="O741" s="129"/>
      <c r="P741" s="121"/>
      <c r="Q741" s="154"/>
    </row>
    <row r="742">
      <c r="A742" s="147"/>
      <c r="B742" s="131"/>
      <c r="C742" s="132"/>
      <c r="D742" s="119"/>
      <c r="E742" s="133"/>
      <c r="F742" s="132"/>
      <c r="G742" s="134"/>
      <c r="H742" s="132"/>
      <c r="I742" s="135"/>
      <c r="J742" s="148"/>
      <c r="K742" s="132"/>
      <c r="L742" s="16"/>
      <c r="M742" s="149"/>
      <c r="N742" s="137"/>
      <c r="O742" s="118"/>
      <c r="P742" s="131"/>
      <c r="Q742" s="150"/>
    </row>
    <row r="743">
      <c r="A743" s="151"/>
      <c r="B743" s="121"/>
      <c r="C743" s="122"/>
      <c r="D743" s="123"/>
      <c r="E743" s="124"/>
      <c r="F743" s="122"/>
      <c r="G743" s="125"/>
      <c r="H743" s="122"/>
      <c r="I743" s="126"/>
      <c r="J743" s="152"/>
      <c r="K743" s="122"/>
      <c r="L743" s="45"/>
      <c r="M743" s="153"/>
      <c r="N743" s="128"/>
      <c r="O743" s="129"/>
      <c r="P743" s="121"/>
      <c r="Q743" s="154"/>
    </row>
    <row r="744">
      <c r="A744" s="147"/>
      <c r="B744" s="131"/>
      <c r="C744" s="132"/>
      <c r="D744" s="119"/>
      <c r="E744" s="133"/>
      <c r="F744" s="132"/>
      <c r="G744" s="134"/>
      <c r="H744" s="132"/>
      <c r="I744" s="135"/>
      <c r="J744" s="148"/>
      <c r="K744" s="132"/>
      <c r="L744" s="16"/>
      <c r="M744" s="149"/>
      <c r="N744" s="137"/>
      <c r="O744" s="118"/>
      <c r="P744" s="131"/>
      <c r="Q744" s="150"/>
    </row>
    <row r="745">
      <c r="A745" s="151"/>
      <c r="B745" s="121"/>
      <c r="C745" s="122"/>
      <c r="D745" s="123"/>
      <c r="E745" s="124"/>
      <c r="F745" s="122"/>
      <c r="G745" s="125"/>
      <c r="H745" s="122"/>
      <c r="I745" s="126"/>
      <c r="J745" s="152"/>
      <c r="K745" s="122"/>
      <c r="L745" s="45"/>
      <c r="M745" s="153"/>
      <c r="N745" s="128"/>
      <c r="O745" s="129"/>
      <c r="P745" s="121"/>
      <c r="Q745" s="154"/>
    </row>
    <row r="746">
      <c r="A746" s="147"/>
      <c r="B746" s="131"/>
      <c r="C746" s="132"/>
      <c r="D746" s="119"/>
      <c r="E746" s="133"/>
      <c r="F746" s="132"/>
      <c r="G746" s="134"/>
      <c r="H746" s="132"/>
      <c r="I746" s="135"/>
      <c r="J746" s="148"/>
      <c r="K746" s="132"/>
      <c r="L746" s="16"/>
      <c r="M746" s="149"/>
      <c r="N746" s="137"/>
      <c r="O746" s="118"/>
      <c r="P746" s="131"/>
      <c r="Q746" s="150"/>
    </row>
    <row r="747">
      <c r="A747" s="151"/>
      <c r="B747" s="121"/>
      <c r="C747" s="122"/>
      <c r="D747" s="123"/>
      <c r="E747" s="124"/>
      <c r="F747" s="122"/>
      <c r="G747" s="125"/>
      <c r="H747" s="122"/>
      <c r="I747" s="126"/>
      <c r="J747" s="152"/>
      <c r="K747" s="122"/>
      <c r="L747" s="45"/>
      <c r="M747" s="153"/>
      <c r="N747" s="128"/>
      <c r="O747" s="129"/>
      <c r="P747" s="121"/>
      <c r="Q747" s="154"/>
    </row>
    <row r="748">
      <c r="A748" s="147"/>
      <c r="B748" s="131"/>
      <c r="C748" s="132"/>
      <c r="D748" s="119"/>
      <c r="E748" s="133"/>
      <c r="F748" s="132"/>
      <c r="G748" s="134"/>
      <c r="H748" s="132"/>
      <c r="I748" s="135"/>
      <c r="J748" s="148"/>
      <c r="K748" s="132"/>
      <c r="L748" s="16"/>
      <c r="M748" s="149"/>
      <c r="N748" s="137"/>
      <c r="O748" s="118"/>
      <c r="P748" s="131"/>
      <c r="Q748" s="150"/>
    </row>
    <row r="749">
      <c r="A749" s="151"/>
      <c r="B749" s="121"/>
      <c r="C749" s="122"/>
      <c r="D749" s="123"/>
      <c r="E749" s="124"/>
      <c r="F749" s="122"/>
      <c r="G749" s="125"/>
      <c r="H749" s="122"/>
      <c r="I749" s="126"/>
      <c r="J749" s="152"/>
      <c r="K749" s="122"/>
      <c r="L749" s="45"/>
      <c r="M749" s="153"/>
      <c r="N749" s="128"/>
      <c r="O749" s="129"/>
      <c r="P749" s="121"/>
      <c r="Q749" s="154"/>
    </row>
    <row r="750">
      <c r="A750" s="147"/>
      <c r="B750" s="131"/>
      <c r="C750" s="132"/>
      <c r="D750" s="119"/>
      <c r="E750" s="133"/>
      <c r="F750" s="132"/>
      <c r="G750" s="134"/>
      <c r="H750" s="132"/>
      <c r="I750" s="135"/>
      <c r="J750" s="148"/>
      <c r="K750" s="132"/>
      <c r="L750" s="16"/>
      <c r="M750" s="149"/>
      <c r="N750" s="137"/>
      <c r="O750" s="118"/>
      <c r="P750" s="131"/>
      <c r="Q750" s="150"/>
    </row>
    <row r="751">
      <c r="A751" s="151"/>
      <c r="B751" s="121"/>
      <c r="C751" s="122"/>
      <c r="D751" s="123"/>
      <c r="E751" s="124"/>
      <c r="F751" s="122"/>
      <c r="G751" s="125"/>
      <c r="H751" s="122"/>
      <c r="I751" s="126"/>
      <c r="J751" s="152"/>
      <c r="K751" s="122"/>
      <c r="L751" s="45"/>
      <c r="M751" s="153"/>
      <c r="N751" s="128"/>
      <c r="O751" s="129"/>
      <c r="P751" s="121"/>
      <c r="Q751" s="154"/>
    </row>
    <row r="752">
      <c r="A752" s="147"/>
      <c r="B752" s="131"/>
      <c r="C752" s="132"/>
      <c r="D752" s="119"/>
      <c r="E752" s="133"/>
      <c r="F752" s="132"/>
      <c r="G752" s="134"/>
      <c r="H752" s="132"/>
      <c r="I752" s="135"/>
      <c r="J752" s="148"/>
      <c r="K752" s="132"/>
      <c r="L752" s="16"/>
      <c r="M752" s="149"/>
      <c r="N752" s="137"/>
      <c r="O752" s="118"/>
      <c r="P752" s="131"/>
      <c r="Q752" s="150"/>
    </row>
    <row r="753">
      <c r="A753" s="151"/>
      <c r="B753" s="121"/>
      <c r="C753" s="122"/>
      <c r="D753" s="123"/>
      <c r="E753" s="124"/>
      <c r="F753" s="122"/>
      <c r="G753" s="125"/>
      <c r="H753" s="122"/>
      <c r="I753" s="126"/>
      <c r="J753" s="152"/>
      <c r="K753" s="122"/>
      <c r="L753" s="45"/>
      <c r="M753" s="153"/>
      <c r="N753" s="128"/>
      <c r="O753" s="129"/>
      <c r="P753" s="121"/>
      <c r="Q753" s="154"/>
    </row>
    <row r="754">
      <c r="A754" s="147"/>
      <c r="B754" s="131"/>
      <c r="C754" s="132"/>
      <c r="D754" s="119"/>
      <c r="E754" s="133"/>
      <c r="F754" s="132"/>
      <c r="G754" s="134"/>
      <c r="H754" s="132"/>
      <c r="I754" s="135"/>
      <c r="J754" s="148"/>
      <c r="K754" s="132"/>
      <c r="L754" s="16"/>
      <c r="M754" s="149"/>
      <c r="N754" s="137"/>
      <c r="O754" s="118"/>
      <c r="P754" s="131"/>
      <c r="Q754" s="150"/>
    </row>
    <row r="755">
      <c r="A755" s="151"/>
      <c r="B755" s="121"/>
      <c r="C755" s="122"/>
      <c r="D755" s="123"/>
      <c r="E755" s="124"/>
      <c r="F755" s="122"/>
      <c r="G755" s="125"/>
      <c r="H755" s="122"/>
      <c r="I755" s="126"/>
      <c r="J755" s="152"/>
      <c r="K755" s="122"/>
      <c r="L755" s="45"/>
      <c r="M755" s="153"/>
      <c r="N755" s="128"/>
      <c r="O755" s="129"/>
      <c r="P755" s="121"/>
      <c r="Q755" s="154"/>
    </row>
    <row r="756">
      <c r="A756" s="147"/>
      <c r="B756" s="131"/>
      <c r="C756" s="132"/>
      <c r="D756" s="119"/>
      <c r="E756" s="133"/>
      <c r="F756" s="132"/>
      <c r="G756" s="134"/>
      <c r="H756" s="132"/>
      <c r="I756" s="135"/>
      <c r="J756" s="148"/>
      <c r="K756" s="132"/>
      <c r="L756" s="16"/>
      <c r="M756" s="149"/>
      <c r="N756" s="137"/>
      <c r="O756" s="118"/>
      <c r="P756" s="131"/>
      <c r="Q756" s="150"/>
    </row>
    <row r="757">
      <c r="A757" s="151"/>
      <c r="B757" s="121"/>
      <c r="C757" s="122"/>
      <c r="D757" s="123"/>
      <c r="E757" s="124"/>
      <c r="F757" s="122"/>
      <c r="G757" s="125"/>
      <c r="H757" s="122"/>
      <c r="I757" s="126"/>
      <c r="J757" s="152"/>
      <c r="K757" s="122"/>
      <c r="L757" s="45"/>
      <c r="M757" s="153"/>
      <c r="N757" s="128"/>
      <c r="O757" s="129"/>
      <c r="P757" s="121"/>
      <c r="Q757" s="154"/>
    </row>
    <row r="758">
      <c r="A758" s="147"/>
      <c r="B758" s="131"/>
      <c r="C758" s="132"/>
      <c r="D758" s="119"/>
      <c r="E758" s="133"/>
      <c r="F758" s="132"/>
      <c r="G758" s="134"/>
      <c r="H758" s="132"/>
      <c r="I758" s="135"/>
      <c r="J758" s="148"/>
      <c r="K758" s="132"/>
      <c r="L758" s="16"/>
      <c r="M758" s="149"/>
      <c r="N758" s="137"/>
      <c r="O758" s="118"/>
      <c r="P758" s="131"/>
      <c r="Q758" s="150"/>
    </row>
    <row r="759">
      <c r="A759" s="151"/>
      <c r="B759" s="121"/>
      <c r="C759" s="122"/>
      <c r="D759" s="123"/>
      <c r="E759" s="124"/>
      <c r="F759" s="122"/>
      <c r="G759" s="125"/>
      <c r="H759" s="122"/>
      <c r="I759" s="126"/>
      <c r="J759" s="152"/>
      <c r="K759" s="122"/>
      <c r="L759" s="45"/>
      <c r="M759" s="153"/>
      <c r="N759" s="128"/>
      <c r="O759" s="129"/>
      <c r="P759" s="121"/>
      <c r="Q759" s="154"/>
    </row>
    <row r="760">
      <c r="A760" s="147"/>
      <c r="B760" s="131"/>
      <c r="C760" s="132"/>
      <c r="D760" s="119"/>
      <c r="E760" s="133"/>
      <c r="F760" s="132"/>
      <c r="G760" s="134"/>
      <c r="H760" s="132"/>
      <c r="I760" s="135"/>
      <c r="J760" s="148"/>
      <c r="K760" s="132"/>
      <c r="L760" s="16"/>
      <c r="M760" s="149"/>
      <c r="N760" s="137"/>
      <c r="O760" s="118"/>
      <c r="P760" s="131"/>
      <c r="Q760" s="150"/>
    </row>
    <row r="761">
      <c r="A761" s="151"/>
      <c r="B761" s="121"/>
      <c r="C761" s="122"/>
      <c r="D761" s="123"/>
      <c r="E761" s="124"/>
      <c r="F761" s="122"/>
      <c r="G761" s="125"/>
      <c r="H761" s="122"/>
      <c r="I761" s="126"/>
      <c r="J761" s="152"/>
      <c r="K761" s="122"/>
      <c r="L761" s="45"/>
      <c r="M761" s="153"/>
      <c r="N761" s="128"/>
      <c r="O761" s="129"/>
      <c r="P761" s="121"/>
      <c r="Q761" s="154"/>
    </row>
    <row r="762">
      <c r="A762" s="147"/>
      <c r="B762" s="131"/>
      <c r="C762" s="132"/>
      <c r="D762" s="119"/>
      <c r="E762" s="133"/>
      <c r="F762" s="132"/>
      <c r="G762" s="134"/>
      <c r="H762" s="132"/>
      <c r="I762" s="135"/>
      <c r="J762" s="148"/>
      <c r="K762" s="132"/>
      <c r="L762" s="16"/>
      <c r="M762" s="149"/>
      <c r="N762" s="137"/>
      <c r="O762" s="118"/>
      <c r="P762" s="131"/>
      <c r="Q762" s="150"/>
    </row>
    <row r="763">
      <c r="A763" s="151"/>
      <c r="B763" s="121"/>
      <c r="C763" s="122"/>
      <c r="D763" s="123"/>
      <c r="E763" s="124"/>
      <c r="F763" s="122"/>
      <c r="G763" s="125"/>
      <c r="H763" s="122"/>
      <c r="I763" s="126"/>
      <c r="J763" s="152"/>
      <c r="K763" s="122"/>
      <c r="L763" s="45"/>
      <c r="M763" s="153"/>
      <c r="N763" s="128"/>
      <c r="O763" s="129"/>
      <c r="P763" s="121"/>
      <c r="Q763" s="154"/>
    </row>
    <row r="764">
      <c r="A764" s="147"/>
      <c r="B764" s="131"/>
      <c r="C764" s="132"/>
      <c r="D764" s="119"/>
      <c r="E764" s="133"/>
      <c r="F764" s="132"/>
      <c r="G764" s="134"/>
      <c r="H764" s="132"/>
      <c r="I764" s="135"/>
      <c r="J764" s="148"/>
      <c r="K764" s="132"/>
      <c r="L764" s="16"/>
      <c r="M764" s="149"/>
      <c r="N764" s="137"/>
      <c r="O764" s="118"/>
      <c r="P764" s="131"/>
      <c r="Q764" s="150"/>
    </row>
    <row r="765">
      <c r="A765" s="151"/>
      <c r="B765" s="121"/>
      <c r="C765" s="122"/>
      <c r="D765" s="123"/>
      <c r="E765" s="124"/>
      <c r="F765" s="122"/>
      <c r="G765" s="125"/>
      <c r="H765" s="122"/>
      <c r="I765" s="126"/>
      <c r="J765" s="152"/>
      <c r="K765" s="122"/>
      <c r="L765" s="45"/>
      <c r="M765" s="153"/>
      <c r="N765" s="128"/>
      <c r="O765" s="129"/>
      <c r="P765" s="121"/>
      <c r="Q765" s="154"/>
    </row>
    <row r="766">
      <c r="A766" s="147"/>
      <c r="B766" s="131"/>
      <c r="C766" s="132"/>
      <c r="D766" s="119"/>
      <c r="E766" s="133"/>
      <c r="F766" s="132"/>
      <c r="G766" s="134"/>
      <c r="H766" s="132"/>
      <c r="I766" s="135"/>
      <c r="J766" s="148"/>
      <c r="K766" s="132"/>
      <c r="L766" s="16"/>
      <c r="M766" s="149"/>
      <c r="N766" s="137"/>
      <c r="O766" s="118"/>
      <c r="P766" s="131"/>
      <c r="Q766" s="150"/>
    </row>
    <row r="767">
      <c r="A767" s="151"/>
      <c r="B767" s="121"/>
      <c r="C767" s="122"/>
      <c r="D767" s="123"/>
      <c r="E767" s="124"/>
      <c r="F767" s="122"/>
      <c r="G767" s="125"/>
      <c r="H767" s="122"/>
      <c r="I767" s="126"/>
      <c r="J767" s="152"/>
      <c r="K767" s="122"/>
      <c r="L767" s="45"/>
      <c r="M767" s="153"/>
      <c r="N767" s="128"/>
      <c r="O767" s="129"/>
      <c r="P767" s="121"/>
      <c r="Q767" s="154"/>
    </row>
    <row r="768">
      <c r="A768" s="147"/>
      <c r="B768" s="131"/>
      <c r="C768" s="132"/>
      <c r="D768" s="119"/>
      <c r="E768" s="133"/>
      <c r="F768" s="132"/>
      <c r="G768" s="134"/>
      <c r="H768" s="132"/>
      <c r="I768" s="135"/>
      <c r="J768" s="148"/>
      <c r="K768" s="132"/>
      <c r="L768" s="16"/>
      <c r="M768" s="149"/>
      <c r="N768" s="137"/>
      <c r="O768" s="118"/>
      <c r="P768" s="131"/>
      <c r="Q768" s="150"/>
    </row>
    <row r="769">
      <c r="A769" s="151"/>
      <c r="B769" s="121"/>
      <c r="C769" s="122"/>
      <c r="D769" s="123"/>
      <c r="E769" s="124"/>
      <c r="F769" s="122"/>
      <c r="G769" s="125"/>
      <c r="H769" s="122"/>
      <c r="I769" s="126"/>
      <c r="J769" s="152"/>
      <c r="K769" s="122"/>
      <c r="L769" s="45"/>
      <c r="M769" s="153"/>
      <c r="N769" s="128"/>
      <c r="O769" s="129"/>
      <c r="P769" s="121"/>
      <c r="Q769" s="154"/>
    </row>
    <row r="770">
      <c r="A770" s="147"/>
      <c r="B770" s="131"/>
      <c r="C770" s="132"/>
      <c r="D770" s="119"/>
      <c r="E770" s="133"/>
      <c r="F770" s="132"/>
      <c r="G770" s="134"/>
      <c r="H770" s="132"/>
      <c r="I770" s="135"/>
      <c r="J770" s="148"/>
      <c r="K770" s="132"/>
      <c r="L770" s="16"/>
      <c r="M770" s="149"/>
      <c r="N770" s="137"/>
      <c r="O770" s="118"/>
      <c r="P770" s="131"/>
      <c r="Q770" s="150"/>
    </row>
    <row r="771">
      <c r="A771" s="151"/>
      <c r="B771" s="121"/>
      <c r="C771" s="122"/>
      <c r="D771" s="123"/>
      <c r="E771" s="124"/>
      <c r="F771" s="122"/>
      <c r="G771" s="125"/>
      <c r="H771" s="122"/>
      <c r="I771" s="126"/>
      <c r="J771" s="152"/>
      <c r="K771" s="122"/>
      <c r="L771" s="45"/>
      <c r="M771" s="153"/>
      <c r="N771" s="128"/>
      <c r="O771" s="129"/>
      <c r="P771" s="121"/>
      <c r="Q771" s="154"/>
    </row>
    <row r="772">
      <c r="A772" s="147"/>
      <c r="B772" s="131"/>
      <c r="C772" s="132"/>
      <c r="D772" s="119"/>
      <c r="E772" s="133"/>
      <c r="F772" s="132"/>
      <c r="G772" s="134"/>
      <c r="H772" s="132"/>
      <c r="I772" s="135"/>
      <c r="J772" s="148"/>
      <c r="K772" s="132"/>
      <c r="L772" s="16"/>
      <c r="M772" s="149"/>
      <c r="N772" s="137"/>
      <c r="O772" s="118"/>
      <c r="P772" s="131"/>
      <c r="Q772" s="150"/>
    </row>
    <row r="773">
      <c r="A773" s="151"/>
      <c r="B773" s="121"/>
      <c r="C773" s="122"/>
      <c r="D773" s="123"/>
      <c r="E773" s="124"/>
      <c r="F773" s="122"/>
      <c r="G773" s="125"/>
      <c r="H773" s="122"/>
      <c r="I773" s="126"/>
      <c r="J773" s="152"/>
      <c r="K773" s="122"/>
      <c r="L773" s="45"/>
      <c r="M773" s="153"/>
      <c r="N773" s="128"/>
      <c r="O773" s="129"/>
      <c r="P773" s="121"/>
      <c r="Q773" s="154"/>
    </row>
    <row r="774">
      <c r="A774" s="147"/>
      <c r="B774" s="131"/>
      <c r="C774" s="132"/>
      <c r="D774" s="119"/>
      <c r="E774" s="133"/>
      <c r="F774" s="132"/>
      <c r="G774" s="134"/>
      <c r="H774" s="132"/>
      <c r="I774" s="135"/>
      <c r="J774" s="148"/>
      <c r="K774" s="132"/>
      <c r="L774" s="16"/>
      <c r="M774" s="149"/>
      <c r="N774" s="137"/>
      <c r="O774" s="118"/>
      <c r="P774" s="131"/>
      <c r="Q774" s="150"/>
    </row>
    <row r="775">
      <c r="A775" s="151"/>
      <c r="B775" s="121"/>
      <c r="C775" s="122"/>
      <c r="D775" s="123"/>
      <c r="E775" s="124"/>
      <c r="F775" s="122"/>
      <c r="G775" s="125"/>
      <c r="H775" s="122"/>
      <c r="I775" s="126"/>
      <c r="J775" s="152"/>
      <c r="K775" s="122"/>
      <c r="L775" s="45"/>
      <c r="M775" s="153"/>
      <c r="N775" s="128"/>
      <c r="O775" s="129"/>
      <c r="P775" s="121"/>
      <c r="Q775" s="154"/>
    </row>
    <row r="776">
      <c r="A776" s="147"/>
      <c r="B776" s="131"/>
      <c r="C776" s="132"/>
      <c r="D776" s="119"/>
      <c r="E776" s="133"/>
      <c r="F776" s="132"/>
      <c r="G776" s="134"/>
      <c r="H776" s="132"/>
      <c r="I776" s="135"/>
      <c r="J776" s="148"/>
      <c r="K776" s="132"/>
      <c r="L776" s="16"/>
      <c r="M776" s="149"/>
      <c r="N776" s="137"/>
      <c r="O776" s="118"/>
      <c r="P776" s="131"/>
      <c r="Q776" s="150"/>
    </row>
    <row r="777">
      <c r="A777" s="151"/>
      <c r="B777" s="121"/>
      <c r="C777" s="122"/>
      <c r="D777" s="123"/>
      <c r="E777" s="124"/>
      <c r="F777" s="122"/>
      <c r="G777" s="125"/>
      <c r="H777" s="122"/>
      <c r="I777" s="126"/>
      <c r="J777" s="152"/>
      <c r="K777" s="122"/>
      <c r="L777" s="45"/>
      <c r="M777" s="153"/>
      <c r="N777" s="128"/>
      <c r="O777" s="129"/>
      <c r="P777" s="121"/>
      <c r="Q777" s="154"/>
    </row>
    <row r="778">
      <c r="A778" s="147"/>
      <c r="B778" s="131"/>
      <c r="C778" s="132"/>
      <c r="D778" s="119"/>
      <c r="E778" s="133"/>
      <c r="F778" s="132"/>
      <c r="G778" s="134"/>
      <c r="H778" s="132"/>
      <c r="I778" s="135"/>
      <c r="J778" s="148"/>
      <c r="K778" s="132"/>
      <c r="L778" s="16"/>
      <c r="M778" s="149"/>
      <c r="N778" s="137"/>
      <c r="O778" s="118"/>
      <c r="P778" s="131"/>
      <c r="Q778" s="150"/>
    </row>
    <row r="779">
      <c r="A779" s="151"/>
      <c r="B779" s="121"/>
      <c r="C779" s="122"/>
      <c r="D779" s="123"/>
      <c r="E779" s="124"/>
      <c r="F779" s="122"/>
      <c r="G779" s="125"/>
      <c r="H779" s="122"/>
      <c r="I779" s="126"/>
      <c r="J779" s="152"/>
      <c r="K779" s="122"/>
      <c r="L779" s="45"/>
      <c r="M779" s="153"/>
      <c r="N779" s="128"/>
      <c r="O779" s="129"/>
      <c r="P779" s="121"/>
      <c r="Q779" s="154"/>
    </row>
    <row r="780">
      <c r="A780" s="147"/>
      <c r="B780" s="131"/>
      <c r="C780" s="132"/>
      <c r="D780" s="119"/>
      <c r="E780" s="133"/>
      <c r="F780" s="132"/>
      <c r="G780" s="134"/>
      <c r="H780" s="132"/>
      <c r="I780" s="135"/>
      <c r="J780" s="148"/>
      <c r="K780" s="132"/>
      <c r="L780" s="16"/>
      <c r="M780" s="149"/>
      <c r="N780" s="137"/>
      <c r="O780" s="118"/>
      <c r="P780" s="131"/>
      <c r="Q780" s="150"/>
    </row>
    <row r="781">
      <c r="A781" s="151"/>
      <c r="B781" s="121"/>
      <c r="C781" s="122"/>
      <c r="D781" s="123"/>
      <c r="E781" s="124"/>
      <c r="F781" s="122"/>
      <c r="G781" s="125"/>
      <c r="H781" s="122"/>
      <c r="I781" s="126"/>
      <c r="J781" s="152"/>
      <c r="K781" s="122"/>
      <c r="L781" s="45"/>
      <c r="M781" s="153"/>
      <c r="N781" s="128"/>
      <c r="O781" s="129"/>
      <c r="P781" s="121"/>
      <c r="Q781" s="154"/>
    </row>
    <row r="782">
      <c r="A782" s="147"/>
      <c r="B782" s="131"/>
      <c r="C782" s="132"/>
      <c r="D782" s="119"/>
      <c r="E782" s="133"/>
      <c r="F782" s="132"/>
      <c r="G782" s="134"/>
      <c r="H782" s="132"/>
      <c r="I782" s="135"/>
      <c r="J782" s="148"/>
      <c r="K782" s="132"/>
      <c r="L782" s="16"/>
      <c r="M782" s="149"/>
      <c r="N782" s="137"/>
      <c r="O782" s="118"/>
      <c r="P782" s="131"/>
      <c r="Q782" s="150"/>
    </row>
    <row r="783">
      <c r="A783" s="151"/>
      <c r="B783" s="121"/>
      <c r="C783" s="122"/>
      <c r="D783" s="123"/>
      <c r="E783" s="124"/>
      <c r="F783" s="122"/>
      <c r="G783" s="125"/>
      <c r="H783" s="122"/>
      <c r="I783" s="126"/>
      <c r="J783" s="152"/>
      <c r="K783" s="122"/>
      <c r="L783" s="45"/>
      <c r="M783" s="153"/>
      <c r="N783" s="128"/>
      <c r="O783" s="129"/>
      <c r="P783" s="121"/>
      <c r="Q783" s="154"/>
    </row>
    <row r="784">
      <c r="A784" s="147"/>
      <c r="B784" s="131"/>
      <c r="C784" s="132"/>
      <c r="D784" s="119"/>
      <c r="E784" s="133"/>
      <c r="F784" s="132"/>
      <c r="G784" s="134"/>
      <c r="H784" s="132"/>
      <c r="I784" s="135"/>
      <c r="J784" s="148"/>
      <c r="K784" s="132"/>
      <c r="L784" s="16"/>
      <c r="M784" s="149"/>
      <c r="N784" s="137"/>
      <c r="O784" s="118"/>
      <c r="P784" s="131"/>
      <c r="Q784" s="150"/>
    </row>
    <row r="785">
      <c r="A785" s="151"/>
      <c r="B785" s="121"/>
      <c r="C785" s="122"/>
      <c r="D785" s="123"/>
      <c r="E785" s="124"/>
      <c r="F785" s="122"/>
      <c r="G785" s="125"/>
      <c r="H785" s="122"/>
      <c r="I785" s="126"/>
      <c r="J785" s="152"/>
      <c r="K785" s="122"/>
      <c r="L785" s="45"/>
      <c r="M785" s="153"/>
      <c r="N785" s="128"/>
      <c r="O785" s="129"/>
      <c r="P785" s="121"/>
      <c r="Q785" s="154"/>
    </row>
    <row r="786">
      <c r="A786" s="147"/>
      <c r="B786" s="131"/>
      <c r="C786" s="132"/>
      <c r="D786" s="119"/>
      <c r="E786" s="133"/>
      <c r="F786" s="132"/>
      <c r="G786" s="134"/>
      <c r="H786" s="132"/>
      <c r="I786" s="135"/>
      <c r="J786" s="148"/>
      <c r="K786" s="132"/>
      <c r="L786" s="16"/>
      <c r="M786" s="149"/>
      <c r="N786" s="137"/>
      <c r="O786" s="118"/>
      <c r="P786" s="131"/>
      <c r="Q786" s="150"/>
    </row>
    <row r="787">
      <c r="A787" s="151"/>
      <c r="B787" s="121"/>
      <c r="C787" s="122"/>
      <c r="D787" s="123"/>
      <c r="E787" s="124"/>
      <c r="F787" s="122"/>
      <c r="G787" s="125"/>
      <c r="H787" s="122"/>
      <c r="I787" s="126"/>
      <c r="J787" s="152"/>
      <c r="K787" s="122"/>
      <c r="L787" s="45"/>
      <c r="M787" s="153"/>
      <c r="N787" s="128"/>
      <c r="O787" s="129"/>
      <c r="P787" s="121"/>
      <c r="Q787" s="154"/>
    </row>
    <row r="788">
      <c r="A788" s="147"/>
      <c r="B788" s="131"/>
      <c r="C788" s="132"/>
      <c r="D788" s="119"/>
      <c r="E788" s="133"/>
      <c r="F788" s="132"/>
      <c r="G788" s="134"/>
      <c r="H788" s="132"/>
      <c r="I788" s="135"/>
      <c r="J788" s="148"/>
      <c r="K788" s="132"/>
      <c r="L788" s="16"/>
      <c r="M788" s="149"/>
      <c r="N788" s="137"/>
      <c r="O788" s="118"/>
      <c r="P788" s="131"/>
      <c r="Q788" s="150"/>
    </row>
    <row r="789">
      <c r="A789" s="151"/>
      <c r="B789" s="121"/>
      <c r="C789" s="122"/>
      <c r="D789" s="123"/>
      <c r="E789" s="124"/>
      <c r="F789" s="122"/>
      <c r="G789" s="125"/>
      <c r="H789" s="122"/>
      <c r="I789" s="126"/>
      <c r="J789" s="152"/>
      <c r="K789" s="122"/>
      <c r="L789" s="45"/>
      <c r="M789" s="153"/>
      <c r="N789" s="128"/>
      <c r="O789" s="129"/>
      <c r="P789" s="121"/>
      <c r="Q789" s="154"/>
    </row>
    <row r="790">
      <c r="A790" s="147"/>
      <c r="B790" s="131"/>
      <c r="C790" s="132"/>
      <c r="D790" s="119"/>
      <c r="E790" s="133"/>
      <c r="F790" s="132"/>
      <c r="G790" s="134"/>
      <c r="H790" s="132"/>
      <c r="I790" s="135"/>
      <c r="J790" s="148"/>
      <c r="K790" s="132"/>
      <c r="L790" s="16"/>
      <c r="M790" s="149"/>
      <c r="N790" s="137"/>
      <c r="O790" s="118"/>
      <c r="P790" s="131"/>
      <c r="Q790" s="150"/>
    </row>
    <row r="791">
      <c r="A791" s="151"/>
      <c r="B791" s="121"/>
      <c r="C791" s="122"/>
      <c r="D791" s="123"/>
      <c r="E791" s="124"/>
      <c r="F791" s="122"/>
      <c r="G791" s="125"/>
      <c r="H791" s="122"/>
      <c r="I791" s="126"/>
      <c r="J791" s="152"/>
      <c r="K791" s="122"/>
      <c r="L791" s="45"/>
      <c r="M791" s="153"/>
      <c r="N791" s="128"/>
      <c r="O791" s="129"/>
      <c r="P791" s="121"/>
      <c r="Q791" s="154"/>
    </row>
    <row r="792">
      <c r="A792" s="147"/>
      <c r="B792" s="131"/>
      <c r="C792" s="132"/>
      <c r="D792" s="119"/>
      <c r="E792" s="133"/>
      <c r="F792" s="132"/>
      <c r="G792" s="134"/>
      <c r="H792" s="132"/>
      <c r="I792" s="135"/>
      <c r="J792" s="148"/>
      <c r="K792" s="132"/>
      <c r="L792" s="16"/>
      <c r="M792" s="149"/>
      <c r="N792" s="137"/>
      <c r="O792" s="118"/>
      <c r="P792" s="131"/>
      <c r="Q792" s="150"/>
    </row>
    <row r="793">
      <c r="A793" s="151"/>
      <c r="B793" s="121"/>
      <c r="C793" s="122"/>
      <c r="D793" s="123"/>
      <c r="E793" s="124"/>
      <c r="F793" s="122"/>
      <c r="G793" s="125"/>
      <c r="H793" s="122"/>
      <c r="I793" s="126"/>
      <c r="J793" s="152"/>
      <c r="K793" s="122"/>
      <c r="L793" s="45"/>
      <c r="M793" s="153"/>
      <c r="N793" s="128"/>
      <c r="O793" s="129"/>
      <c r="P793" s="121"/>
      <c r="Q793" s="154"/>
    </row>
    <row r="794">
      <c r="A794" s="147"/>
      <c r="B794" s="131"/>
      <c r="C794" s="132"/>
      <c r="D794" s="119"/>
      <c r="E794" s="133"/>
      <c r="F794" s="132"/>
      <c r="G794" s="134"/>
      <c r="H794" s="132"/>
      <c r="I794" s="135"/>
      <c r="J794" s="148"/>
      <c r="K794" s="132"/>
      <c r="L794" s="16"/>
      <c r="M794" s="149"/>
      <c r="N794" s="137"/>
      <c r="O794" s="118"/>
      <c r="P794" s="131"/>
      <c r="Q794" s="150"/>
    </row>
    <row r="795">
      <c r="A795" s="151"/>
      <c r="B795" s="121"/>
      <c r="C795" s="122"/>
      <c r="D795" s="123"/>
      <c r="E795" s="124"/>
      <c r="F795" s="122"/>
      <c r="G795" s="125"/>
      <c r="H795" s="122"/>
      <c r="I795" s="126"/>
      <c r="J795" s="152"/>
      <c r="K795" s="122"/>
      <c r="L795" s="45"/>
      <c r="M795" s="153"/>
      <c r="N795" s="128"/>
      <c r="O795" s="129"/>
      <c r="P795" s="121"/>
      <c r="Q795" s="154"/>
    </row>
    <row r="796">
      <c r="A796" s="147"/>
      <c r="B796" s="131"/>
      <c r="C796" s="132"/>
      <c r="D796" s="119"/>
      <c r="E796" s="133"/>
      <c r="F796" s="132"/>
      <c r="G796" s="134"/>
      <c r="H796" s="132"/>
      <c r="I796" s="135"/>
      <c r="J796" s="148"/>
      <c r="K796" s="132"/>
      <c r="L796" s="16"/>
      <c r="M796" s="149"/>
      <c r="N796" s="137"/>
      <c r="O796" s="118"/>
      <c r="P796" s="131"/>
      <c r="Q796" s="150"/>
    </row>
    <row r="797">
      <c r="A797" s="151"/>
      <c r="B797" s="121"/>
      <c r="C797" s="122"/>
      <c r="D797" s="123"/>
      <c r="E797" s="124"/>
      <c r="F797" s="122"/>
      <c r="G797" s="125"/>
      <c r="H797" s="122"/>
      <c r="I797" s="126"/>
      <c r="J797" s="152"/>
      <c r="K797" s="122"/>
      <c r="L797" s="45"/>
      <c r="M797" s="153"/>
      <c r="N797" s="128"/>
      <c r="O797" s="129"/>
      <c r="P797" s="121"/>
      <c r="Q797" s="154"/>
    </row>
    <row r="798">
      <c r="A798" s="147"/>
      <c r="B798" s="131"/>
      <c r="C798" s="132"/>
      <c r="D798" s="119"/>
      <c r="E798" s="133"/>
      <c r="F798" s="132"/>
      <c r="G798" s="134"/>
      <c r="H798" s="132"/>
      <c r="I798" s="135"/>
      <c r="J798" s="148"/>
      <c r="K798" s="132"/>
      <c r="L798" s="16"/>
      <c r="M798" s="149"/>
      <c r="N798" s="137"/>
      <c r="O798" s="118"/>
      <c r="P798" s="131"/>
      <c r="Q798" s="150"/>
    </row>
    <row r="799">
      <c r="A799" s="151"/>
      <c r="B799" s="121"/>
      <c r="C799" s="122"/>
      <c r="D799" s="123"/>
      <c r="E799" s="124"/>
      <c r="F799" s="122"/>
      <c r="G799" s="125"/>
      <c r="H799" s="122"/>
      <c r="I799" s="126"/>
      <c r="J799" s="152"/>
      <c r="K799" s="122"/>
      <c r="L799" s="45"/>
      <c r="M799" s="153"/>
      <c r="N799" s="128"/>
      <c r="O799" s="129"/>
      <c r="P799" s="121"/>
      <c r="Q799" s="154"/>
    </row>
    <row r="800">
      <c r="A800" s="147"/>
      <c r="B800" s="131"/>
      <c r="C800" s="132"/>
      <c r="D800" s="119"/>
      <c r="E800" s="133"/>
      <c r="F800" s="132"/>
      <c r="G800" s="134"/>
      <c r="H800" s="132"/>
      <c r="I800" s="135"/>
      <c r="J800" s="148"/>
      <c r="K800" s="132"/>
      <c r="L800" s="16"/>
      <c r="M800" s="149"/>
      <c r="N800" s="137"/>
      <c r="O800" s="118"/>
      <c r="P800" s="131"/>
      <c r="Q800" s="150"/>
    </row>
    <row r="801">
      <c r="A801" s="151"/>
      <c r="B801" s="121"/>
      <c r="C801" s="122"/>
      <c r="D801" s="123"/>
      <c r="E801" s="124"/>
      <c r="F801" s="122"/>
      <c r="G801" s="125"/>
      <c r="H801" s="122"/>
      <c r="I801" s="126"/>
      <c r="J801" s="152"/>
      <c r="K801" s="122"/>
      <c r="L801" s="45"/>
      <c r="M801" s="153"/>
      <c r="N801" s="128"/>
      <c r="O801" s="129"/>
      <c r="P801" s="121"/>
      <c r="Q801" s="154"/>
    </row>
    <row r="802">
      <c r="A802" s="147"/>
      <c r="B802" s="131"/>
      <c r="C802" s="132"/>
      <c r="D802" s="119"/>
      <c r="E802" s="133"/>
      <c r="F802" s="132"/>
      <c r="G802" s="134"/>
      <c r="H802" s="132"/>
      <c r="I802" s="135"/>
      <c r="J802" s="148"/>
      <c r="K802" s="132"/>
      <c r="L802" s="16"/>
      <c r="M802" s="149"/>
      <c r="N802" s="137"/>
      <c r="O802" s="118"/>
      <c r="P802" s="131"/>
      <c r="Q802" s="150"/>
    </row>
    <row r="803">
      <c r="A803" s="151"/>
      <c r="B803" s="121"/>
      <c r="C803" s="122"/>
      <c r="D803" s="123"/>
      <c r="E803" s="124"/>
      <c r="F803" s="122"/>
      <c r="G803" s="125"/>
      <c r="H803" s="122"/>
      <c r="I803" s="126"/>
      <c r="J803" s="152"/>
      <c r="K803" s="122"/>
      <c r="L803" s="45"/>
      <c r="M803" s="153"/>
      <c r="N803" s="128"/>
      <c r="O803" s="129"/>
      <c r="P803" s="121"/>
      <c r="Q803" s="154"/>
    </row>
    <row r="804">
      <c r="A804" s="147"/>
      <c r="B804" s="131"/>
      <c r="C804" s="132"/>
      <c r="D804" s="119"/>
      <c r="E804" s="133"/>
      <c r="F804" s="132"/>
      <c r="G804" s="134"/>
      <c r="H804" s="132"/>
      <c r="I804" s="135"/>
      <c r="J804" s="148"/>
      <c r="K804" s="132"/>
      <c r="L804" s="16"/>
      <c r="M804" s="149"/>
      <c r="N804" s="137"/>
      <c r="O804" s="118"/>
      <c r="P804" s="131"/>
      <c r="Q804" s="150"/>
    </row>
    <row r="805">
      <c r="A805" s="151"/>
      <c r="B805" s="121"/>
      <c r="C805" s="122"/>
      <c r="D805" s="123"/>
      <c r="E805" s="124"/>
      <c r="F805" s="122"/>
      <c r="G805" s="125"/>
      <c r="H805" s="122"/>
      <c r="I805" s="126"/>
      <c r="J805" s="152"/>
      <c r="K805" s="122"/>
      <c r="L805" s="45"/>
      <c r="M805" s="153"/>
      <c r="N805" s="128"/>
      <c r="O805" s="129"/>
      <c r="P805" s="121"/>
      <c r="Q805" s="154"/>
    </row>
    <row r="806">
      <c r="A806" s="147"/>
      <c r="B806" s="131"/>
      <c r="C806" s="132"/>
      <c r="D806" s="119"/>
      <c r="E806" s="133"/>
      <c r="F806" s="132"/>
      <c r="G806" s="134"/>
      <c r="H806" s="132"/>
      <c r="I806" s="135"/>
      <c r="J806" s="148"/>
      <c r="K806" s="132"/>
      <c r="L806" s="16"/>
      <c r="M806" s="149"/>
      <c r="N806" s="137"/>
      <c r="O806" s="118"/>
      <c r="P806" s="131"/>
      <c r="Q806" s="150"/>
    </row>
    <row r="807">
      <c r="A807" s="151"/>
      <c r="B807" s="121"/>
      <c r="C807" s="122"/>
      <c r="D807" s="123"/>
      <c r="E807" s="124"/>
      <c r="F807" s="122"/>
      <c r="G807" s="125"/>
      <c r="H807" s="122"/>
      <c r="I807" s="126"/>
      <c r="J807" s="152"/>
      <c r="K807" s="122"/>
      <c r="L807" s="45"/>
      <c r="M807" s="153"/>
      <c r="N807" s="128"/>
      <c r="O807" s="129"/>
      <c r="P807" s="121"/>
      <c r="Q807" s="154"/>
    </row>
    <row r="808">
      <c r="A808" s="147"/>
      <c r="B808" s="131"/>
      <c r="C808" s="132"/>
      <c r="D808" s="119"/>
      <c r="E808" s="133"/>
      <c r="F808" s="132"/>
      <c r="G808" s="134"/>
      <c r="H808" s="132"/>
      <c r="I808" s="135"/>
      <c r="J808" s="148"/>
      <c r="K808" s="132"/>
      <c r="L808" s="16"/>
      <c r="M808" s="149"/>
      <c r="N808" s="137"/>
      <c r="O808" s="118"/>
      <c r="P808" s="131"/>
      <c r="Q808" s="150"/>
    </row>
    <row r="809">
      <c r="A809" s="151"/>
      <c r="B809" s="121"/>
      <c r="C809" s="122"/>
      <c r="D809" s="123"/>
      <c r="E809" s="124"/>
      <c r="F809" s="122"/>
      <c r="G809" s="125"/>
      <c r="H809" s="122"/>
      <c r="I809" s="126"/>
      <c r="J809" s="152"/>
      <c r="K809" s="122"/>
      <c r="L809" s="45"/>
      <c r="M809" s="153"/>
      <c r="N809" s="128"/>
      <c r="O809" s="129"/>
      <c r="P809" s="121"/>
      <c r="Q809" s="154"/>
    </row>
    <row r="810">
      <c r="A810" s="147"/>
      <c r="B810" s="131"/>
      <c r="C810" s="132"/>
      <c r="D810" s="119"/>
      <c r="E810" s="133"/>
      <c r="F810" s="132"/>
      <c r="G810" s="134"/>
      <c r="H810" s="132"/>
      <c r="I810" s="135"/>
      <c r="J810" s="148"/>
      <c r="K810" s="132"/>
      <c r="L810" s="16"/>
      <c r="M810" s="149"/>
      <c r="N810" s="137"/>
      <c r="O810" s="118"/>
      <c r="P810" s="131"/>
      <c r="Q810" s="150"/>
    </row>
    <row r="811">
      <c r="A811" s="151"/>
      <c r="B811" s="121"/>
      <c r="C811" s="122"/>
      <c r="D811" s="123"/>
      <c r="E811" s="124"/>
      <c r="F811" s="122"/>
      <c r="G811" s="125"/>
      <c r="H811" s="122"/>
      <c r="I811" s="126"/>
      <c r="J811" s="152"/>
      <c r="K811" s="122"/>
      <c r="L811" s="45"/>
      <c r="M811" s="153"/>
      <c r="N811" s="128"/>
      <c r="O811" s="129"/>
      <c r="P811" s="121"/>
      <c r="Q811" s="154"/>
    </row>
    <row r="812">
      <c r="A812" s="147"/>
      <c r="B812" s="131"/>
      <c r="C812" s="132"/>
      <c r="D812" s="119"/>
      <c r="E812" s="133"/>
      <c r="F812" s="132"/>
      <c r="G812" s="134"/>
      <c r="H812" s="132"/>
      <c r="I812" s="135"/>
      <c r="J812" s="148"/>
      <c r="K812" s="132"/>
      <c r="L812" s="16"/>
      <c r="M812" s="149"/>
      <c r="N812" s="137"/>
      <c r="O812" s="118"/>
      <c r="P812" s="131"/>
      <c r="Q812" s="150"/>
    </row>
    <row r="813">
      <c r="A813" s="151"/>
      <c r="B813" s="121"/>
      <c r="C813" s="122"/>
      <c r="D813" s="123"/>
      <c r="E813" s="124"/>
      <c r="F813" s="122"/>
      <c r="G813" s="125"/>
      <c r="H813" s="122"/>
      <c r="I813" s="126"/>
      <c r="J813" s="152"/>
      <c r="K813" s="122"/>
      <c r="L813" s="45"/>
      <c r="M813" s="153"/>
      <c r="N813" s="128"/>
      <c r="O813" s="129"/>
      <c r="P813" s="121"/>
      <c r="Q813" s="154"/>
    </row>
    <row r="814">
      <c r="A814" s="147"/>
      <c r="B814" s="131"/>
      <c r="C814" s="132"/>
      <c r="D814" s="119"/>
      <c r="E814" s="133"/>
      <c r="F814" s="132"/>
      <c r="G814" s="134"/>
      <c r="H814" s="132"/>
      <c r="I814" s="135"/>
      <c r="J814" s="148"/>
      <c r="K814" s="132"/>
      <c r="L814" s="16"/>
      <c r="M814" s="149"/>
      <c r="N814" s="137"/>
      <c r="O814" s="118"/>
      <c r="P814" s="131"/>
      <c r="Q814" s="150"/>
    </row>
    <row r="815">
      <c r="A815" s="151"/>
      <c r="B815" s="121"/>
      <c r="C815" s="122"/>
      <c r="D815" s="123"/>
      <c r="E815" s="124"/>
      <c r="F815" s="122"/>
      <c r="G815" s="125"/>
      <c r="H815" s="122"/>
      <c r="I815" s="126"/>
      <c r="J815" s="152"/>
      <c r="K815" s="122"/>
      <c r="L815" s="45"/>
      <c r="M815" s="153"/>
      <c r="N815" s="128"/>
      <c r="O815" s="129"/>
      <c r="P815" s="121"/>
      <c r="Q815" s="154"/>
    </row>
    <row r="816">
      <c r="A816" s="147"/>
      <c r="B816" s="131"/>
      <c r="C816" s="132"/>
      <c r="D816" s="119"/>
      <c r="E816" s="133"/>
      <c r="F816" s="132"/>
      <c r="G816" s="134"/>
      <c r="H816" s="132"/>
      <c r="I816" s="135"/>
      <c r="J816" s="148"/>
      <c r="K816" s="132"/>
      <c r="L816" s="16"/>
      <c r="M816" s="149"/>
      <c r="N816" s="137"/>
      <c r="O816" s="118"/>
      <c r="P816" s="131"/>
      <c r="Q816" s="150"/>
    </row>
    <row r="817">
      <c r="A817" s="151"/>
      <c r="B817" s="121"/>
      <c r="C817" s="122"/>
      <c r="D817" s="123"/>
      <c r="E817" s="124"/>
      <c r="F817" s="122"/>
      <c r="G817" s="125"/>
      <c r="H817" s="122"/>
      <c r="I817" s="126"/>
      <c r="J817" s="152"/>
      <c r="K817" s="122"/>
      <c r="L817" s="45"/>
      <c r="M817" s="153"/>
      <c r="N817" s="128"/>
      <c r="O817" s="129"/>
      <c r="P817" s="121"/>
      <c r="Q817" s="154"/>
    </row>
    <row r="818">
      <c r="A818" s="147"/>
      <c r="B818" s="131"/>
      <c r="C818" s="132"/>
      <c r="D818" s="119"/>
      <c r="E818" s="133"/>
      <c r="F818" s="132"/>
      <c r="G818" s="134"/>
      <c r="H818" s="132"/>
      <c r="I818" s="135"/>
      <c r="J818" s="148"/>
      <c r="K818" s="132"/>
      <c r="L818" s="16"/>
      <c r="M818" s="149"/>
      <c r="N818" s="137"/>
      <c r="O818" s="118"/>
      <c r="P818" s="131"/>
      <c r="Q818" s="150"/>
    </row>
    <row r="819">
      <c r="A819" s="151"/>
      <c r="B819" s="121"/>
      <c r="C819" s="122"/>
      <c r="D819" s="123"/>
      <c r="E819" s="124"/>
      <c r="F819" s="122"/>
      <c r="G819" s="125"/>
      <c r="H819" s="122"/>
      <c r="I819" s="126"/>
      <c r="J819" s="152"/>
      <c r="K819" s="122"/>
      <c r="L819" s="45"/>
      <c r="M819" s="153"/>
      <c r="N819" s="128"/>
      <c r="O819" s="129"/>
      <c r="P819" s="121"/>
      <c r="Q819" s="154"/>
    </row>
    <row r="820">
      <c r="A820" s="147"/>
      <c r="B820" s="131"/>
      <c r="C820" s="132"/>
      <c r="D820" s="119"/>
      <c r="E820" s="133"/>
      <c r="F820" s="132"/>
      <c r="G820" s="134"/>
      <c r="H820" s="132"/>
      <c r="I820" s="135"/>
      <c r="J820" s="148"/>
      <c r="K820" s="132"/>
      <c r="L820" s="16"/>
      <c r="M820" s="149"/>
      <c r="N820" s="137"/>
      <c r="O820" s="118"/>
      <c r="P820" s="131"/>
      <c r="Q820" s="150"/>
    </row>
    <row r="821">
      <c r="A821" s="151"/>
      <c r="B821" s="121"/>
      <c r="C821" s="122"/>
      <c r="D821" s="123"/>
      <c r="E821" s="124"/>
      <c r="F821" s="122"/>
      <c r="G821" s="125"/>
      <c r="H821" s="122"/>
      <c r="I821" s="126"/>
      <c r="J821" s="152"/>
      <c r="K821" s="122"/>
      <c r="L821" s="45"/>
      <c r="M821" s="153"/>
      <c r="N821" s="128"/>
      <c r="O821" s="129"/>
      <c r="P821" s="121"/>
      <c r="Q821" s="154"/>
    </row>
    <row r="822">
      <c r="A822" s="147"/>
      <c r="B822" s="131"/>
      <c r="C822" s="132"/>
      <c r="D822" s="119"/>
      <c r="E822" s="133"/>
      <c r="F822" s="132"/>
      <c r="G822" s="134"/>
      <c r="H822" s="132"/>
      <c r="I822" s="135"/>
      <c r="J822" s="148"/>
      <c r="K822" s="132"/>
      <c r="L822" s="16"/>
      <c r="M822" s="149"/>
      <c r="N822" s="137"/>
      <c r="O822" s="118"/>
      <c r="P822" s="131"/>
      <c r="Q822" s="150"/>
    </row>
    <row r="823">
      <c r="A823" s="151"/>
      <c r="B823" s="121"/>
      <c r="C823" s="122"/>
      <c r="D823" s="123"/>
      <c r="E823" s="124"/>
      <c r="F823" s="122"/>
      <c r="G823" s="125"/>
      <c r="H823" s="122"/>
      <c r="I823" s="126"/>
      <c r="J823" s="152"/>
      <c r="K823" s="122"/>
      <c r="L823" s="45"/>
      <c r="M823" s="153"/>
      <c r="N823" s="128"/>
      <c r="O823" s="129"/>
      <c r="P823" s="121"/>
      <c r="Q823" s="154"/>
    </row>
    <row r="824">
      <c r="A824" s="147"/>
      <c r="B824" s="131"/>
      <c r="C824" s="132"/>
      <c r="D824" s="119"/>
      <c r="E824" s="133"/>
      <c r="F824" s="132"/>
      <c r="G824" s="134"/>
      <c r="H824" s="132"/>
      <c r="I824" s="135"/>
      <c r="J824" s="148"/>
      <c r="K824" s="132"/>
      <c r="L824" s="16"/>
      <c r="M824" s="149"/>
      <c r="N824" s="137"/>
      <c r="O824" s="118"/>
      <c r="P824" s="131"/>
      <c r="Q824" s="150"/>
    </row>
    <row r="825">
      <c r="A825" s="151"/>
      <c r="B825" s="121"/>
      <c r="C825" s="122"/>
      <c r="D825" s="123"/>
      <c r="E825" s="124"/>
      <c r="F825" s="122"/>
      <c r="G825" s="125"/>
      <c r="H825" s="122"/>
      <c r="I825" s="126"/>
      <c r="J825" s="152"/>
      <c r="K825" s="122"/>
      <c r="L825" s="45"/>
      <c r="M825" s="153"/>
      <c r="N825" s="128"/>
      <c r="O825" s="129"/>
      <c r="P825" s="121"/>
      <c r="Q825" s="154"/>
    </row>
    <row r="826">
      <c r="A826" s="147"/>
      <c r="B826" s="131"/>
      <c r="C826" s="132"/>
      <c r="D826" s="119"/>
      <c r="E826" s="133"/>
      <c r="F826" s="132"/>
      <c r="G826" s="134"/>
      <c r="H826" s="132"/>
      <c r="I826" s="135"/>
      <c r="J826" s="148"/>
      <c r="K826" s="132"/>
      <c r="L826" s="16"/>
      <c r="M826" s="149"/>
      <c r="N826" s="137"/>
      <c r="O826" s="118"/>
      <c r="P826" s="131"/>
      <c r="Q826" s="150"/>
    </row>
    <row r="827">
      <c r="A827" s="151"/>
      <c r="B827" s="121"/>
      <c r="C827" s="122"/>
      <c r="D827" s="123"/>
      <c r="E827" s="124"/>
      <c r="F827" s="122"/>
      <c r="G827" s="125"/>
      <c r="H827" s="122"/>
      <c r="I827" s="126"/>
      <c r="J827" s="152"/>
      <c r="K827" s="122"/>
      <c r="L827" s="45"/>
      <c r="M827" s="153"/>
      <c r="N827" s="128"/>
      <c r="O827" s="129"/>
      <c r="P827" s="121"/>
      <c r="Q827" s="154"/>
    </row>
    <row r="828">
      <c r="A828" s="147"/>
      <c r="B828" s="131"/>
      <c r="C828" s="132"/>
      <c r="D828" s="119"/>
      <c r="E828" s="133"/>
      <c r="F828" s="132"/>
      <c r="G828" s="134"/>
      <c r="H828" s="132"/>
      <c r="I828" s="135"/>
      <c r="J828" s="148"/>
      <c r="K828" s="132"/>
      <c r="L828" s="16"/>
      <c r="M828" s="149"/>
      <c r="N828" s="137"/>
      <c r="O828" s="118"/>
      <c r="P828" s="131"/>
      <c r="Q828" s="150"/>
    </row>
    <row r="829">
      <c r="A829" s="151"/>
      <c r="B829" s="121"/>
      <c r="C829" s="122"/>
      <c r="D829" s="123"/>
      <c r="E829" s="124"/>
      <c r="F829" s="122"/>
      <c r="G829" s="125"/>
      <c r="H829" s="122"/>
      <c r="I829" s="126"/>
      <c r="J829" s="152"/>
      <c r="K829" s="122"/>
      <c r="L829" s="45"/>
      <c r="M829" s="153"/>
      <c r="N829" s="128"/>
      <c r="O829" s="129"/>
      <c r="P829" s="121"/>
      <c r="Q829" s="154"/>
    </row>
    <row r="830">
      <c r="A830" s="147"/>
      <c r="B830" s="131"/>
      <c r="C830" s="132"/>
      <c r="D830" s="119"/>
      <c r="E830" s="133"/>
      <c r="F830" s="132"/>
      <c r="G830" s="134"/>
      <c r="H830" s="132"/>
      <c r="I830" s="135"/>
      <c r="J830" s="148"/>
      <c r="K830" s="132"/>
      <c r="L830" s="16"/>
      <c r="M830" s="149"/>
      <c r="N830" s="137"/>
      <c r="O830" s="118"/>
      <c r="P830" s="131"/>
      <c r="Q830" s="150"/>
    </row>
    <row r="831">
      <c r="A831" s="151"/>
      <c r="B831" s="121"/>
      <c r="C831" s="122"/>
      <c r="D831" s="123"/>
      <c r="E831" s="124"/>
      <c r="F831" s="122"/>
      <c r="G831" s="125"/>
      <c r="H831" s="122"/>
      <c r="I831" s="126"/>
      <c r="J831" s="152"/>
      <c r="K831" s="122"/>
      <c r="L831" s="45"/>
      <c r="M831" s="153"/>
      <c r="N831" s="128"/>
      <c r="O831" s="129"/>
      <c r="P831" s="121"/>
      <c r="Q831" s="154"/>
    </row>
    <row r="832">
      <c r="A832" s="147"/>
      <c r="B832" s="131"/>
      <c r="C832" s="132"/>
      <c r="D832" s="119"/>
      <c r="E832" s="133"/>
      <c r="F832" s="132"/>
      <c r="G832" s="134"/>
      <c r="H832" s="132"/>
      <c r="I832" s="135"/>
      <c r="J832" s="148"/>
      <c r="K832" s="132"/>
      <c r="L832" s="16"/>
      <c r="M832" s="149"/>
      <c r="N832" s="137"/>
      <c r="O832" s="118"/>
      <c r="P832" s="131"/>
      <c r="Q832" s="150"/>
    </row>
    <row r="833">
      <c r="A833" s="151"/>
      <c r="B833" s="121"/>
      <c r="C833" s="122"/>
      <c r="D833" s="123"/>
      <c r="E833" s="124"/>
      <c r="F833" s="122"/>
      <c r="G833" s="125"/>
      <c r="H833" s="122"/>
      <c r="I833" s="126"/>
      <c r="J833" s="152"/>
      <c r="K833" s="122"/>
      <c r="L833" s="45"/>
      <c r="M833" s="153"/>
      <c r="N833" s="128"/>
      <c r="O833" s="129"/>
      <c r="P833" s="121"/>
      <c r="Q833" s="154"/>
    </row>
    <row r="834">
      <c r="A834" s="147"/>
      <c r="B834" s="131"/>
      <c r="C834" s="132"/>
      <c r="D834" s="119"/>
      <c r="E834" s="133"/>
      <c r="F834" s="132"/>
      <c r="G834" s="134"/>
      <c r="H834" s="132"/>
      <c r="I834" s="135"/>
      <c r="J834" s="148"/>
      <c r="K834" s="132"/>
      <c r="L834" s="16"/>
      <c r="M834" s="149"/>
      <c r="N834" s="137"/>
      <c r="O834" s="118"/>
      <c r="P834" s="131"/>
      <c r="Q834" s="150"/>
    </row>
    <row r="835">
      <c r="A835" s="151"/>
      <c r="B835" s="121"/>
      <c r="C835" s="122"/>
      <c r="D835" s="123"/>
      <c r="E835" s="124"/>
      <c r="F835" s="122"/>
      <c r="G835" s="125"/>
      <c r="H835" s="122"/>
      <c r="I835" s="126"/>
      <c r="J835" s="152"/>
      <c r="K835" s="122"/>
      <c r="L835" s="45"/>
      <c r="M835" s="153"/>
      <c r="N835" s="128"/>
      <c r="O835" s="129"/>
      <c r="P835" s="121"/>
      <c r="Q835" s="154"/>
    </row>
    <row r="836">
      <c r="A836" s="147"/>
      <c r="B836" s="131"/>
      <c r="C836" s="132"/>
      <c r="D836" s="119"/>
      <c r="E836" s="133"/>
      <c r="F836" s="132"/>
      <c r="G836" s="134"/>
      <c r="H836" s="132"/>
      <c r="I836" s="135"/>
      <c r="J836" s="148"/>
      <c r="K836" s="132"/>
      <c r="L836" s="16"/>
      <c r="M836" s="149"/>
      <c r="N836" s="137"/>
      <c r="O836" s="118"/>
      <c r="P836" s="131"/>
      <c r="Q836" s="150"/>
    </row>
    <row r="837">
      <c r="A837" s="151"/>
      <c r="B837" s="121"/>
      <c r="C837" s="122"/>
      <c r="D837" s="123"/>
      <c r="E837" s="124"/>
      <c r="F837" s="122"/>
      <c r="G837" s="125"/>
      <c r="H837" s="122"/>
      <c r="I837" s="126"/>
      <c r="J837" s="152"/>
      <c r="K837" s="122"/>
      <c r="L837" s="45"/>
      <c r="M837" s="153"/>
      <c r="N837" s="128"/>
      <c r="O837" s="129"/>
      <c r="P837" s="121"/>
      <c r="Q837" s="154"/>
    </row>
    <row r="838">
      <c r="A838" s="147"/>
      <c r="B838" s="131"/>
      <c r="C838" s="132"/>
      <c r="D838" s="119"/>
      <c r="E838" s="133"/>
      <c r="F838" s="132"/>
      <c r="G838" s="134"/>
      <c r="H838" s="132"/>
      <c r="I838" s="135"/>
      <c r="J838" s="148"/>
      <c r="K838" s="132"/>
      <c r="L838" s="16"/>
      <c r="M838" s="149"/>
      <c r="N838" s="137"/>
      <c r="O838" s="118"/>
      <c r="P838" s="131"/>
      <c r="Q838" s="150"/>
    </row>
    <row r="839">
      <c r="A839" s="151"/>
      <c r="B839" s="121"/>
      <c r="C839" s="122"/>
      <c r="D839" s="123"/>
      <c r="E839" s="124"/>
      <c r="F839" s="122"/>
      <c r="G839" s="125"/>
      <c r="H839" s="122"/>
      <c r="I839" s="126"/>
      <c r="J839" s="152"/>
      <c r="K839" s="122"/>
      <c r="L839" s="45"/>
      <c r="M839" s="153"/>
      <c r="N839" s="128"/>
      <c r="O839" s="129"/>
      <c r="P839" s="121"/>
      <c r="Q839" s="154"/>
    </row>
    <row r="840">
      <c r="A840" s="147"/>
      <c r="B840" s="131"/>
      <c r="C840" s="132"/>
      <c r="D840" s="119"/>
      <c r="E840" s="133"/>
      <c r="F840" s="132"/>
      <c r="G840" s="134"/>
      <c r="H840" s="132"/>
      <c r="I840" s="135"/>
      <c r="J840" s="148"/>
      <c r="K840" s="132"/>
      <c r="L840" s="16"/>
      <c r="M840" s="149"/>
      <c r="N840" s="137"/>
      <c r="O840" s="118"/>
      <c r="P840" s="131"/>
      <c r="Q840" s="150"/>
    </row>
    <row r="841">
      <c r="A841" s="151"/>
      <c r="B841" s="121"/>
      <c r="C841" s="122"/>
      <c r="D841" s="123"/>
      <c r="E841" s="124"/>
      <c r="F841" s="122"/>
      <c r="G841" s="125"/>
      <c r="H841" s="122"/>
      <c r="I841" s="126"/>
      <c r="J841" s="152"/>
      <c r="K841" s="122"/>
      <c r="L841" s="45"/>
      <c r="M841" s="153"/>
      <c r="N841" s="128"/>
      <c r="O841" s="129"/>
      <c r="P841" s="121"/>
      <c r="Q841" s="154"/>
    </row>
    <row r="842">
      <c r="A842" s="147"/>
      <c r="B842" s="131"/>
      <c r="C842" s="132"/>
      <c r="D842" s="119"/>
      <c r="E842" s="133"/>
      <c r="F842" s="132"/>
      <c r="G842" s="134"/>
      <c r="H842" s="132"/>
      <c r="I842" s="135"/>
      <c r="J842" s="148"/>
      <c r="K842" s="132"/>
      <c r="L842" s="16"/>
      <c r="M842" s="149"/>
      <c r="N842" s="137"/>
      <c r="O842" s="118"/>
      <c r="P842" s="131"/>
      <c r="Q842" s="150"/>
    </row>
    <row r="843">
      <c r="A843" s="151"/>
      <c r="B843" s="121"/>
      <c r="C843" s="122"/>
      <c r="D843" s="123"/>
      <c r="E843" s="124"/>
      <c r="F843" s="122"/>
      <c r="G843" s="125"/>
      <c r="H843" s="122"/>
      <c r="I843" s="126"/>
      <c r="J843" s="152"/>
      <c r="K843" s="122"/>
      <c r="L843" s="45"/>
      <c r="M843" s="153"/>
      <c r="N843" s="128"/>
      <c r="O843" s="129"/>
      <c r="P843" s="121"/>
      <c r="Q843" s="154"/>
    </row>
    <row r="844">
      <c r="A844" s="147"/>
      <c r="B844" s="131"/>
      <c r="C844" s="132"/>
      <c r="D844" s="119"/>
      <c r="E844" s="133"/>
      <c r="F844" s="132"/>
      <c r="G844" s="134"/>
      <c r="H844" s="132"/>
      <c r="I844" s="135"/>
      <c r="J844" s="148"/>
      <c r="K844" s="132"/>
      <c r="L844" s="16"/>
      <c r="M844" s="149"/>
      <c r="N844" s="137"/>
      <c r="O844" s="118"/>
      <c r="P844" s="131"/>
      <c r="Q844" s="150"/>
    </row>
    <row r="845">
      <c r="A845" s="151"/>
      <c r="B845" s="121"/>
      <c r="C845" s="122"/>
      <c r="D845" s="123"/>
      <c r="E845" s="124"/>
      <c r="F845" s="122"/>
      <c r="G845" s="125"/>
      <c r="H845" s="122"/>
      <c r="I845" s="126"/>
      <c r="J845" s="152"/>
      <c r="K845" s="122"/>
      <c r="L845" s="45"/>
      <c r="M845" s="153"/>
      <c r="N845" s="128"/>
      <c r="O845" s="129"/>
      <c r="P845" s="121"/>
      <c r="Q845" s="154"/>
    </row>
    <row r="846">
      <c r="A846" s="147"/>
      <c r="B846" s="131"/>
      <c r="C846" s="132"/>
      <c r="D846" s="119"/>
      <c r="E846" s="133"/>
      <c r="F846" s="132"/>
      <c r="G846" s="134"/>
      <c r="H846" s="132"/>
      <c r="I846" s="135"/>
      <c r="J846" s="148"/>
      <c r="K846" s="132"/>
      <c r="L846" s="16"/>
      <c r="M846" s="149"/>
      <c r="N846" s="137"/>
      <c r="O846" s="118"/>
      <c r="P846" s="131"/>
      <c r="Q846" s="150"/>
    </row>
    <row r="847">
      <c r="A847" s="151"/>
      <c r="B847" s="121"/>
      <c r="C847" s="122"/>
      <c r="D847" s="123"/>
      <c r="E847" s="124"/>
      <c r="F847" s="122"/>
      <c r="G847" s="125"/>
      <c r="H847" s="122"/>
      <c r="I847" s="126"/>
      <c r="J847" s="152"/>
      <c r="K847" s="122"/>
      <c r="L847" s="45"/>
      <c r="M847" s="153"/>
      <c r="N847" s="128"/>
      <c r="O847" s="129"/>
      <c r="P847" s="121"/>
      <c r="Q847" s="154"/>
    </row>
    <row r="848">
      <c r="A848" s="147"/>
      <c r="B848" s="131"/>
      <c r="C848" s="132"/>
      <c r="D848" s="119"/>
      <c r="E848" s="133"/>
      <c r="F848" s="132"/>
      <c r="G848" s="134"/>
      <c r="H848" s="132"/>
      <c r="I848" s="135"/>
      <c r="J848" s="148"/>
      <c r="K848" s="132"/>
      <c r="L848" s="16"/>
      <c r="M848" s="149"/>
      <c r="N848" s="137"/>
      <c r="O848" s="118"/>
      <c r="P848" s="131"/>
      <c r="Q848" s="150"/>
    </row>
    <row r="849">
      <c r="A849" s="151"/>
      <c r="B849" s="121"/>
      <c r="C849" s="122"/>
      <c r="D849" s="123"/>
      <c r="E849" s="124"/>
      <c r="F849" s="122"/>
      <c r="G849" s="125"/>
      <c r="H849" s="122"/>
      <c r="I849" s="126"/>
      <c r="J849" s="152"/>
      <c r="K849" s="122"/>
      <c r="L849" s="45"/>
      <c r="M849" s="153"/>
      <c r="N849" s="128"/>
      <c r="O849" s="129"/>
      <c r="P849" s="121"/>
      <c r="Q849" s="154"/>
    </row>
    <row r="850">
      <c r="A850" s="147"/>
      <c r="B850" s="131"/>
      <c r="C850" s="132"/>
      <c r="D850" s="119"/>
      <c r="E850" s="133"/>
      <c r="F850" s="132"/>
      <c r="G850" s="134"/>
      <c r="H850" s="132"/>
      <c r="I850" s="135"/>
      <c r="J850" s="148"/>
      <c r="K850" s="132"/>
      <c r="L850" s="16"/>
      <c r="M850" s="149"/>
      <c r="N850" s="137"/>
      <c r="O850" s="118"/>
      <c r="P850" s="131"/>
      <c r="Q850" s="150"/>
    </row>
    <row r="851">
      <c r="A851" s="151"/>
      <c r="B851" s="121"/>
      <c r="C851" s="122"/>
      <c r="D851" s="123"/>
      <c r="E851" s="124"/>
      <c r="F851" s="122"/>
      <c r="G851" s="125"/>
      <c r="H851" s="122"/>
      <c r="I851" s="126"/>
      <c r="J851" s="152"/>
      <c r="K851" s="122"/>
      <c r="L851" s="45"/>
      <c r="M851" s="153"/>
      <c r="N851" s="128"/>
      <c r="O851" s="129"/>
      <c r="P851" s="121"/>
      <c r="Q851" s="154"/>
    </row>
    <row r="852">
      <c r="A852" s="147"/>
      <c r="B852" s="131"/>
      <c r="C852" s="132"/>
      <c r="D852" s="119"/>
      <c r="E852" s="133"/>
      <c r="F852" s="132"/>
      <c r="G852" s="134"/>
      <c r="H852" s="132"/>
      <c r="I852" s="135"/>
      <c r="J852" s="148"/>
      <c r="K852" s="132"/>
      <c r="L852" s="16"/>
      <c r="M852" s="149"/>
      <c r="N852" s="137"/>
      <c r="O852" s="118"/>
      <c r="P852" s="131"/>
      <c r="Q852" s="150"/>
    </row>
    <row r="853">
      <c r="A853" s="151"/>
      <c r="B853" s="121"/>
      <c r="C853" s="122"/>
      <c r="D853" s="123"/>
      <c r="E853" s="124"/>
      <c r="F853" s="122"/>
      <c r="G853" s="125"/>
      <c r="H853" s="122"/>
      <c r="I853" s="126"/>
      <c r="J853" s="152"/>
      <c r="K853" s="122"/>
      <c r="L853" s="45"/>
      <c r="M853" s="153"/>
      <c r="N853" s="128"/>
      <c r="O853" s="129"/>
      <c r="P853" s="121"/>
      <c r="Q853" s="154"/>
    </row>
    <row r="854">
      <c r="A854" s="147"/>
      <c r="B854" s="131"/>
      <c r="C854" s="132"/>
      <c r="D854" s="119"/>
      <c r="E854" s="133"/>
      <c r="F854" s="132"/>
      <c r="G854" s="134"/>
      <c r="H854" s="132"/>
      <c r="I854" s="135"/>
      <c r="J854" s="148"/>
      <c r="K854" s="132"/>
      <c r="L854" s="16"/>
      <c r="M854" s="149"/>
      <c r="N854" s="137"/>
      <c r="O854" s="118"/>
      <c r="P854" s="131"/>
      <c r="Q854" s="150"/>
    </row>
    <row r="855">
      <c r="A855" s="151"/>
      <c r="B855" s="121"/>
      <c r="C855" s="122"/>
      <c r="D855" s="123"/>
      <c r="E855" s="124"/>
      <c r="F855" s="122"/>
      <c r="G855" s="125"/>
      <c r="H855" s="122"/>
      <c r="I855" s="126"/>
      <c r="J855" s="152"/>
      <c r="K855" s="122"/>
      <c r="L855" s="45"/>
      <c r="M855" s="153"/>
      <c r="N855" s="128"/>
      <c r="O855" s="129"/>
      <c r="P855" s="121"/>
      <c r="Q855" s="154"/>
    </row>
    <row r="856">
      <c r="A856" s="147"/>
      <c r="B856" s="131"/>
      <c r="C856" s="132"/>
      <c r="D856" s="119"/>
      <c r="E856" s="133"/>
      <c r="F856" s="132"/>
      <c r="G856" s="134"/>
      <c r="H856" s="132"/>
      <c r="I856" s="135"/>
      <c r="J856" s="148"/>
      <c r="K856" s="132"/>
      <c r="L856" s="16"/>
      <c r="M856" s="149"/>
      <c r="N856" s="137"/>
      <c r="O856" s="118"/>
      <c r="P856" s="131"/>
      <c r="Q856" s="150"/>
    </row>
    <row r="857">
      <c r="A857" s="151"/>
      <c r="B857" s="121"/>
      <c r="C857" s="122"/>
      <c r="D857" s="123"/>
      <c r="E857" s="124"/>
      <c r="F857" s="122"/>
      <c r="G857" s="125"/>
      <c r="H857" s="122"/>
      <c r="I857" s="126"/>
      <c r="J857" s="152"/>
      <c r="K857" s="122"/>
      <c r="L857" s="45"/>
      <c r="M857" s="153"/>
      <c r="N857" s="128"/>
      <c r="O857" s="129"/>
      <c r="P857" s="121"/>
      <c r="Q857" s="154"/>
    </row>
    <row r="858">
      <c r="A858" s="147"/>
      <c r="B858" s="131"/>
      <c r="C858" s="132"/>
      <c r="D858" s="119"/>
      <c r="E858" s="133"/>
      <c r="F858" s="132"/>
      <c r="G858" s="134"/>
      <c r="H858" s="132"/>
      <c r="I858" s="135"/>
      <c r="J858" s="148"/>
      <c r="K858" s="132"/>
      <c r="L858" s="16"/>
      <c r="M858" s="149"/>
      <c r="N858" s="137"/>
      <c r="O858" s="118"/>
      <c r="P858" s="131"/>
      <c r="Q858" s="150"/>
    </row>
    <row r="859">
      <c r="A859" s="151"/>
      <c r="B859" s="121"/>
      <c r="C859" s="122"/>
      <c r="D859" s="123"/>
      <c r="E859" s="124"/>
      <c r="F859" s="122"/>
      <c r="G859" s="125"/>
      <c r="H859" s="122"/>
      <c r="I859" s="126"/>
      <c r="J859" s="152"/>
      <c r="K859" s="122"/>
      <c r="L859" s="45"/>
      <c r="M859" s="153"/>
      <c r="N859" s="128"/>
      <c r="O859" s="129"/>
      <c r="P859" s="121"/>
      <c r="Q859" s="154"/>
    </row>
    <row r="860">
      <c r="A860" s="147"/>
      <c r="B860" s="131"/>
      <c r="C860" s="132"/>
      <c r="D860" s="119"/>
      <c r="E860" s="133"/>
      <c r="F860" s="132"/>
      <c r="G860" s="134"/>
      <c r="H860" s="132"/>
      <c r="I860" s="135"/>
      <c r="J860" s="148"/>
      <c r="K860" s="132"/>
      <c r="L860" s="16"/>
      <c r="M860" s="149"/>
      <c r="N860" s="137"/>
      <c r="O860" s="118"/>
      <c r="P860" s="131"/>
      <c r="Q860" s="150"/>
    </row>
    <row r="861">
      <c r="A861" s="151"/>
      <c r="B861" s="121"/>
      <c r="C861" s="122"/>
      <c r="D861" s="123"/>
      <c r="E861" s="124"/>
      <c r="F861" s="122"/>
      <c r="G861" s="125"/>
      <c r="H861" s="122"/>
      <c r="I861" s="126"/>
      <c r="J861" s="152"/>
      <c r="K861" s="122"/>
      <c r="L861" s="45"/>
      <c r="M861" s="153"/>
      <c r="N861" s="128"/>
      <c r="O861" s="129"/>
      <c r="P861" s="121"/>
      <c r="Q861" s="154"/>
    </row>
    <row r="862">
      <c r="A862" s="147"/>
      <c r="B862" s="131"/>
      <c r="C862" s="132"/>
      <c r="D862" s="119"/>
      <c r="E862" s="133"/>
      <c r="F862" s="132"/>
      <c r="G862" s="134"/>
      <c r="H862" s="132"/>
      <c r="I862" s="135"/>
      <c r="J862" s="148"/>
      <c r="K862" s="132"/>
      <c r="L862" s="16"/>
      <c r="M862" s="149"/>
      <c r="N862" s="137"/>
      <c r="O862" s="118"/>
      <c r="P862" s="131"/>
      <c r="Q862" s="150"/>
    </row>
    <row r="863">
      <c r="A863" s="151"/>
      <c r="B863" s="121"/>
      <c r="C863" s="122"/>
      <c r="D863" s="123"/>
      <c r="E863" s="124"/>
      <c r="F863" s="122"/>
      <c r="G863" s="125"/>
      <c r="H863" s="122"/>
      <c r="I863" s="126"/>
      <c r="J863" s="152"/>
      <c r="K863" s="122"/>
      <c r="L863" s="45"/>
      <c r="M863" s="153"/>
      <c r="N863" s="128"/>
      <c r="O863" s="129"/>
      <c r="P863" s="121"/>
      <c r="Q863" s="154"/>
    </row>
    <row r="864">
      <c r="A864" s="147"/>
      <c r="B864" s="131"/>
      <c r="C864" s="132"/>
      <c r="D864" s="119"/>
      <c r="E864" s="133"/>
      <c r="F864" s="132"/>
      <c r="G864" s="134"/>
      <c r="H864" s="132"/>
      <c r="I864" s="135"/>
      <c r="J864" s="148"/>
      <c r="K864" s="132"/>
      <c r="L864" s="16"/>
      <c r="M864" s="149"/>
      <c r="N864" s="137"/>
      <c r="O864" s="118"/>
      <c r="P864" s="131"/>
      <c r="Q864" s="150"/>
    </row>
    <row r="865">
      <c r="A865" s="151"/>
      <c r="B865" s="121"/>
      <c r="C865" s="122"/>
      <c r="D865" s="123"/>
      <c r="E865" s="124"/>
      <c r="F865" s="122"/>
      <c r="G865" s="125"/>
      <c r="H865" s="122"/>
      <c r="I865" s="126"/>
      <c r="J865" s="152"/>
      <c r="K865" s="122"/>
      <c r="L865" s="45"/>
      <c r="M865" s="153"/>
      <c r="N865" s="128"/>
      <c r="O865" s="129"/>
      <c r="P865" s="121"/>
      <c r="Q865" s="154"/>
    </row>
    <row r="866">
      <c r="A866" s="147"/>
      <c r="B866" s="131"/>
      <c r="C866" s="132"/>
      <c r="D866" s="119"/>
      <c r="E866" s="133"/>
      <c r="F866" s="132"/>
      <c r="G866" s="134"/>
      <c r="H866" s="132"/>
      <c r="I866" s="135"/>
      <c r="J866" s="148"/>
      <c r="K866" s="132"/>
      <c r="L866" s="16"/>
      <c r="M866" s="149"/>
      <c r="N866" s="137"/>
      <c r="O866" s="118"/>
      <c r="P866" s="131"/>
      <c r="Q866" s="150"/>
    </row>
    <row r="867">
      <c r="A867" s="151"/>
      <c r="B867" s="121"/>
      <c r="C867" s="122"/>
      <c r="D867" s="123"/>
      <c r="E867" s="124"/>
      <c r="F867" s="122"/>
      <c r="G867" s="125"/>
      <c r="H867" s="122"/>
      <c r="I867" s="126"/>
      <c r="J867" s="152"/>
      <c r="K867" s="122"/>
      <c r="L867" s="45"/>
      <c r="M867" s="153"/>
      <c r="N867" s="128"/>
      <c r="O867" s="129"/>
      <c r="P867" s="121"/>
      <c r="Q867" s="154"/>
    </row>
    <row r="868">
      <c r="A868" s="147"/>
      <c r="B868" s="131"/>
      <c r="C868" s="132"/>
      <c r="D868" s="119"/>
      <c r="E868" s="133"/>
      <c r="F868" s="132"/>
      <c r="G868" s="134"/>
      <c r="H868" s="132"/>
      <c r="I868" s="135"/>
      <c r="J868" s="148"/>
      <c r="K868" s="132"/>
      <c r="L868" s="16"/>
      <c r="M868" s="149"/>
      <c r="N868" s="137"/>
      <c r="O868" s="118"/>
      <c r="P868" s="131"/>
      <c r="Q868" s="150"/>
    </row>
    <row r="869">
      <c r="A869" s="151"/>
      <c r="B869" s="121"/>
      <c r="C869" s="122"/>
      <c r="D869" s="123"/>
      <c r="E869" s="124"/>
      <c r="F869" s="122"/>
      <c r="G869" s="125"/>
      <c r="H869" s="122"/>
      <c r="I869" s="126"/>
      <c r="J869" s="152"/>
      <c r="K869" s="122"/>
      <c r="L869" s="45"/>
      <c r="M869" s="153"/>
      <c r="N869" s="128"/>
      <c r="O869" s="129"/>
      <c r="P869" s="121"/>
      <c r="Q869" s="154"/>
    </row>
    <row r="870">
      <c r="A870" s="147"/>
      <c r="B870" s="131"/>
      <c r="C870" s="132"/>
      <c r="D870" s="119"/>
      <c r="E870" s="133"/>
      <c r="F870" s="132"/>
      <c r="G870" s="134"/>
      <c r="H870" s="132"/>
      <c r="I870" s="135"/>
      <c r="J870" s="148"/>
      <c r="K870" s="132"/>
      <c r="L870" s="16"/>
      <c r="M870" s="149"/>
      <c r="N870" s="137"/>
      <c r="O870" s="118"/>
      <c r="P870" s="131"/>
      <c r="Q870" s="150"/>
    </row>
    <row r="871">
      <c r="A871" s="151"/>
      <c r="B871" s="121"/>
      <c r="C871" s="122"/>
      <c r="D871" s="123"/>
      <c r="E871" s="124"/>
      <c r="F871" s="122"/>
      <c r="G871" s="125"/>
      <c r="H871" s="122"/>
      <c r="I871" s="126"/>
      <c r="J871" s="152"/>
      <c r="K871" s="122"/>
      <c r="L871" s="45"/>
      <c r="M871" s="153"/>
      <c r="N871" s="128"/>
      <c r="O871" s="129"/>
      <c r="P871" s="121"/>
      <c r="Q871" s="154"/>
    </row>
    <row r="872">
      <c r="A872" s="147"/>
      <c r="B872" s="131"/>
      <c r="C872" s="132"/>
      <c r="D872" s="119"/>
      <c r="E872" s="133"/>
      <c r="F872" s="132"/>
      <c r="G872" s="134"/>
      <c r="H872" s="132"/>
      <c r="I872" s="135"/>
      <c r="J872" s="148"/>
      <c r="K872" s="132"/>
      <c r="L872" s="16"/>
      <c r="M872" s="149"/>
      <c r="N872" s="137"/>
      <c r="O872" s="118"/>
      <c r="P872" s="131"/>
      <c r="Q872" s="150"/>
    </row>
    <row r="873">
      <c r="A873" s="151"/>
      <c r="B873" s="121"/>
      <c r="C873" s="122"/>
      <c r="D873" s="123"/>
      <c r="E873" s="124"/>
      <c r="F873" s="122"/>
      <c r="G873" s="125"/>
      <c r="H873" s="122"/>
      <c r="I873" s="126"/>
      <c r="J873" s="152"/>
      <c r="K873" s="122"/>
      <c r="L873" s="45"/>
      <c r="M873" s="153"/>
      <c r="N873" s="128"/>
      <c r="O873" s="129"/>
      <c r="P873" s="121"/>
      <c r="Q873" s="154"/>
    </row>
    <row r="874">
      <c r="A874" s="147"/>
      <c r="B874" s="131"/>
      <c r="C874" s="132"/>
      <c r="D874" s="119"/>
      <c r="E874" s="133"/>
      <c r="F874" s="132"/>
      <c r="G874" s="134"/>
      <c r="H874" s="132"/>
      <c r="I874" s="135"/>
      <c r="J874" s="148"/>
      <c r="K874" s="132"/>
      <c r="L874" s="16"/>
      <c r="M874" s="149"/>
      <c r="N874" s="137"/>
      <c r="O874" s="118"/>
      <c r="P874" s="131"/>
      <c r="Q874" s="150"/>
    </row>
    <row r="875">
      <c r="A875" s="151"/>
      <c r="B875" s="121"/>
      <c r="C875" s="122"/>
      <c r="D875" s="123"/>
      <c r="E875" s="124"/>
      <c r="F875" s="122"/>
      <c r="G875" s="125"/>
      <c r="H875" s="122"/>
      <c r="I875" s="126"/>
      <c r="J875" s="152"/>
      <c r="K875" s="122"/>
      <c r="L875" s="45"/>
      <c r="M875" s="153"/>
      <c r="N875" s="128"/>
      <c r="O875" s="129"/>
      <c r="P875" s="121"/>
      <c r="Q875" s="154"/>
    </row>
    <row r="876">
      <c r="A876" s="147"/>
      <c r="B876" s="131"/>
      <c r="C876" s="132"/>
      <c r="D876" s="119"/>
      <c r="E876" s="133"/>
      <c r="F876" s="132"/>
      <c r="G876" s="134"/>
      <c r="H876" s="132"/>
      <c r="I876" s="135"/>
      <c r="J876" s="148"/>
      <c r="K876" s="132"/>
      <c r="L876" s="16"/>
      <c r="M876" s="149"/>
      <c r="N876" s="137"/>
      <c r="O876" s="118"/>
      <c r="P876" s="131"/>
      <c r="Q876" s="150"/>
    </row>
    <row r="877">
      <c r="A877" s="151"/>
      <c r="B877" s="121"/>
      <c r="C877" s="122"/>
      <c r="D877" s="123"/>
      <c r="E877" s="124"/>
      <c r="F877" s="122"/>
      <c r="G877" s="125"/>
      <c r="H877" s="122"/>
      <c r="I877" s="126"/>
      <c r="J877" s="152"/>
      <c r="K877" s="122"/>
      <c r="L877" s="45"/>
      <c r="M877" s="153"/>
      <c r="N877" s="128"/>
      <c r="O877" s="129"/>
      <c r="P877" s="121"/>
      <c r="Q877" s="154"/>
    </row>
    <row r="878">
      <c r="A878" s="147"/>
      <c r="B878" s="131"/>
      <c r="C878" s="132"/>
      <c r="D878" s="119"/>
      <c r="E878" s="133"/>
      <c r="F878" s="132"/>
      <c r="G878" s="134"/>
      <c r="H878" s="132"/>
      <c r="I878" s="135"/>
      <c r="J878" s="148"/>
      <c r="K878" s="132"/>
      <c r="L878" s="16"/>
      <c r="M878" s="149"/>
      <c r="N878" s="137"/>
      <c r="O878" s="118"/>
      <c r="P878" s="131"/>
      <c r="Q878" s="150"/>
    </row>
    <row r="879">
      <c r="A879" s="151"/>
      <c r="B879" s="121"/>
      <c r="C879" s="122"/>
      <c r="D879" s="123"/>
      <c r="E879" s="124"/>
      <c r="F879" s="122"/>
      <c r="G879" s="125"/>
      <c r="H879" s="122"/>
      <c r="I879" s="126"/>
      <c r="J879" s="152"/>
      <c r="K879" s="122"/>
      <c r="L879" s="45"/>
      <c r="M879" s="153"/>
      <c r="N879" s="128"/>
      <c r="O879" s="129"/>
      <c r="P879" s="121"/>
      <c r="Q879" s="154"/>
    </row>
    <row r="880">
      <c r="A880" s="147"/>
      <c r="B880" s="131"/>
      <c r="C880" s="132"/>
      <c r="D880" s="119"/>
      <c r="E880" s="133"/>
      <c r="F880" s="132"/>
      <c r="G880" s="134"/>
      <c r="H880" s="132"/>
      <c r="I880" s="135"/>
      <c r="J880" s="148"/>
      <c r="K880" s="132"/>
      <c r="L880" s="16"/>
      <c r="M880" s="149"/>
      <c r="N880" s="137"/>
      <c r="O880" s="118"/>
      <c r="P880" s="131"/>
      <c r="Q880" s="150"/>
    </row>
    <row r="881">
      <c r="A881" s="151"/>
      <c r="B881" s="121"/>
      <c r="C881" s="122"/>
      <c r="D881" s="123"/>
      <c r="E881" s="124"/>
      <c r="F881" s="122"/>
      <c r="G881" s="125"/>
      <c r="H881" s="122"/>
      <c r="I881" s="126"/>
      <c r="J881" s="152"/>
      <c r="K881" s="122"/>
      <c r="L881" s="45"/>
      <c r="M881" s="153"/>
      <c r="N881" s="128"/>
      <c r="O881" s="129"/>
      <c r="P881" s="121"/>
      <c r="Q881" s="154"/>
    </row>
    <row r="882">
      <c r="A882" s="147"/>
      <c r="B882" s="131"/>
      <c r="C882" s="132"/>
      <c r="D882" s="119"/>
      <c r="E882" s="133"/>
      <c r="F882" s="132"/>
      <c r="G882" s="134"/>
      <c r="H882" s="132"/>
      <c r="I882" s="135"/>
      <c r="J882" s="148"/>
      <c r="K882" s="132"/>
      <c r="L882" s="16"/>
      <c r="M882" s="149"/>
      <c r="N882" s="137"/>
      <c r="O882" s="118"/>
      <c r="P882" s="131"/>
      <c r="Q882" s="150"/>
    </row>
    <row r="883">
      <c r="A883" s="151"/>
      <c r="B883" s="121"/>
      <c r="C883" s="122"/>
      <c r="D883" s="123"/>
      <c r="E883" s="124"/>
      <c r="F883" s="122"/>
      <c r="G883" s="125"/>
      <c r="H883" s="122"/>
      <c r="I883" s="126"/>
      <c r="J883" s="152"/>
      <c r="K883" s="122"/>
      <c r="L883" s="45"/>
      <c r="M883" s="153"/>
      <c r="N883" s="128"/>
      <c r="O883" s="129"/>
      <c r="P883" s="121"/>
      <c r="Q883" s="154"/>
    </row>
    <row r="884">
      <c r="A884" s="147"/>
      <c r="B884" s="131"/>
      <c r="C884" s="132"/>
      <c r="D884" s="119"/>
      <c r="E884" s="133"/>
      <c r="F884" s="132"/>
      <c r="G884" s="134"/>
      <c r="H884" s="132"/>
      <c r="I884" s="135"/>
      <c r="J884" s="148"/>
      <c r="K884" s="132"/>
      <c r="L884" s="16"/>
      <c r="M884" s="149"/>
      <c r="N884" s="137"/>
      <c r="O884" s="118"/>
      <c r="P884" s="131"/>
      <c r="Q884" s="150"/>
    </row>
    <row r="885">
      <c r="A885" s="151"/>
      <c r="B885" s="121"/>
      <c r="C885" s="122"/>
      <c r="D885" s="123"/>
      <c r="E885" s="124"/>
      <c r="F885" s="122"/>
      <c r="G885" s="125"/>
      <c r="H885" s="122"/>
      <c r="I885" s="126"/>
      <c r="J885" s="152"/>
      <c r="K885" s="122"/>
      <c r="L885" s="45"/>
      <c r="M885" s="153"/>
      <c r="N885" s="128"/>
      <c r="O885" s="129"/>
      <c r="P885" s="121"/>
      <c r="Q885" s="154"/>
    </row>
    <row r="886">
      <c r="A886" s="147"/>
      <c r="B886" s="131"/>
      <c r="C886" s="132"/>
      <c r="D886" s="119"/>
      <c r="E886" s="133"/>
      <c r="F886" s="132"/>
      <c r="G886" s="134"/>
      <c r="H886" s="132"/>
      <c r="I886" s="135"/>
      <c r="J886" s="148"/>
      <c r="K886" s="132"/>
      <c r="L886" s="16"/>
      <c r="M886" s="149"/>
      <c r="N886" s="137"/>
      <c r="O886" s="118"/>
      <c r="P886" s="131"/>
      <c r="Q886" s="150"/>
    </row>
    <row r="887">
      <c r="A887" s="151"/>
      <c r="B887" s="121"/>
      <c r="C887" s="122"/>
      <c r="D887" s="123"/>
      <c r="E887" s="124"/>
      <c r="F887" s="122"/>
      <c r="G887" s="125"/>
      <c r="H887" s="122"/>
      <c r="I887" s="126"/>
      <c r="J887" s="152"/>
      <c r="K887" s="122"/>
      <c r="L887" s="45"/>
      <c r="M887" s="153"/>
      <c r="N887" s="128"/>
      <c r="O887" s="129"/>
      <c r="P887" s="121"/>
      <c r="Q887" s="154"/>
    </row>
    <row r="888">
      <c r="A888" s="147"/>
      <c r="B888" s="131"/>
      <c r="C888" s="132"/>
      <c r="D888" s="119"/>
      <c r="E888" s="133"/>
      <c r="F888" s="132"/>
      <c r="G888" s="134"/>
      <c r="H888" s="132"/>
      <c r="I888" s="135"/>
      <c r="J888" s="148"/>
      <c r="K888" s="132"/>
      <c r="L888" s="16"/>
      <c r="M888" s="149"/>
      <c r="N888" s="137"/>
      <c r="O888" s="118"/>
      <c r="P888" s="131"/>
      <c r="Q888" s="150"/>
    </row>
    <row r="889">
      <c r="A889" s="151"/>
      <c r="B889" s="121"/>
      <c r="C889" s="122"/>
      <c r="D889" s="123"/>
      <c r="E889" s="124"/>
      <c r="F889" s="122"/>
      <c r="G889" s="125"/>
      <c r="H889" s="122"/>
      <c r="I889" s="126"/>
      <c r="J889" s="152"/>
      <c r="K889" s="122"/>
      <c r="L889" s="45"/>
      <c r="M889" s="153"/>
      <c r="N889" s="128"/>
      <c r="O889" s="129"/>
      <c r="P889" s="121"/>
      <c r="Q889" s="154"/>
    </row>
    <row r="890">
      <c r="A890" s="147"/>
      <c r="B890" s="131"/>
      <c r="C890" s="132"/>
      <c r="D890" s="119"/>
      <c r="E890" s="133"/>
      <c r="F890" s="132"/>
      <c r="G890" s="134"/>
      <c r="H890" s="132"/>
      <c r="I890" s="135"/>
      <c r="J890" s="148"/>
      <c r="K890" s="132"/>
      <c r="L890" s="16"/>
      <c r="M890" s="149"/>
      <c r="N890" s="137"/>
      <c r="O890" s="118"/>
      <c r="P890" s="131"/>
      <c r="Q890" s="150"/>
    </row>
    <row r="891">
      <c r="A891" s="151"/>
      <c r="B891" s="121"/>
      <c r="C891" s="122"/>
      <c r="D891" s="123"/>
      <c r="E891" s="124"/>
      <c r="F891" s="122"/>
      <c r="G891" s="125"/>
      <c r="H891" s="122"/>
      <c r="I891" s="126"/>
      <c r="J891" s="152"/>
      <c r="K891" s="122"/>
      <c r="L891" s="45"/>
      <c r="M891" s="153"/>
      <c r="N891" s="128"/>
      <c r="O891" s="129"/>
      <c r="P891" s="121"/>
      <c r="Q891" s="154"/>
    </row>
    <row r="892">
      <c r="A892" s="147"/>
      <c r="B892" s="131"/>
      <c r="C892" s="132"/>
      <c r="D892" s="119"/>
      <c r="E892" s="133"/>
      <c r="F892" s="132"/>
      <c r="G892" s="134"/>
      <c r="H892" s="132"/>
      <c r="I892" s="135"/>
      <c r="J892" s="148"/>
      <c r="K892" s="132"/>
      <c r="L892" s="16"/>
      <c r="M892" s="149"/>
      <c r="N892" s="137"/>
      <c r="O892" s="118"/>
      <c r="P892" s="131"/>
      <c r="Q892" s="150"/>
    </row>
    <row r="893">
      <c r="A893" s="151"/>
      <c r="B893" s="121"/>
      <c r="C893" s="122"/>
      <c r="D893" s="123"/>
      <c r="E893" s="124"/>
      <c r="F893" s="122"/>
      <c r="G893" s="125"/>
      <c r="H893" s="122"/>
      <c r="I893" s="126"/>
      <c r="J893" s="152"/>
      <c r="K893" s="122"/>
      <c r="L893" s="45"/>
      <c r="M893" s="153"/>
      <c r="N893" s="128"/>
      <c r="O893" s="129"/>
      <c r="P893" s="121"/>
      <c r="Q893" s="154"/>
    </row>
    <row r="894">
      <c r="A894" s="147"/>
      <c r="B894" s="131"/>
      <c r="C894" s="132"/>
      <c r="D894" s="119"/>
      <c r="E894" s="133"/>
      <c r="F894" s="132"/>
      <c r="G894" s="134"/>
      <c r="H894" s="132"/>
      <c r="I894" s="135"/>
      <c r="J894" s="148"/>
      <c r="K894" s="132"/>
      <c r="L894" s="16"/>
      <c r="M894" s="149"/>
      <c r="N894" s="137"/>
      <c r="O894" s="118"/>
      <c r="P894" s="131"/>
      <c r="Q894" s="150"/>
    </row>
    <row r="895">
      <c r="A895" s="151"/>
      <c r="B895" s="121"/>
      <c r="C895" s="122"/>
      <c r="D895" s="123"/>
      <c r="E895" s="124"/>
      <c r="F895" s="122"/>
      <c r="G895" s="125"/>
      <c r="H895" s="122"/>
      <c r="I895" s="126"/>
      <c r="J895" s="152"/>
      <c r="K895" s="122"/>
      <c r="L895" s="45"/>
      <c r="M895" s="153"/>
      <c r="N895" s="128"/>
      <c r="O895" s="129"/>
      <c r="P895" s="121"/>
      <c r="Q895" s="154"/>
    </row>
    <row r="896">
      <c r="A896" s="147"/>
      <c r="B896" s="131"/>
      <c r="C896" s="132"/>
      <c r="D896" s="119"/>
      <c r="E896" s="133"/>
      <c r="F896" s="132"/>
      <c r="G896" s="134"/>
      <c r="H896" s="132"/>
      <c r="I896" s="135"/>
      <c r="J896" s="148"/>
      <c r="K896" s="132"/>
      <c r="L896" s="16"/>
      <c r="M896" s="149"/>
      <c r="N896" s="137"/>
      <c r="O896" s="118"/>
      <c r="P896" s="131"/>
      <c r="Q896" s="150"/>
    </row>
    <row r="897">
      <c r="A897" s="151"/>
      <c r="B897" s="121"/>
      <c r="C897" s="122"/>
      <c r="D897" s="123"/>
      <c r="E897" s="124"/>
      <c r="F897" s="122"/>
      <c r="G897" s="125"/>
      <c r="H897" s="122"/>
      <c r="I897" s="126"/>
      <c r="J897" s="152"/>
      <c r="K897" s="122"/>
      <c r="L897" s="45"/>
      <c r="M897" s="153"/>
      <c r="N897" s="128"/>
      <c r="O897" s="129"/>
      <c r="P897" s="121"/>
      <c r="Q897" s="154"/>
    </row>
    <row r="898">
      <c r="A898" s="147"/>
      <c r="B898" s="131"/>
      <c r="C898" s="132"/>
      <c r="D898" s="119"/>
      <c r="E898" s="133"/>
      <c r="F898" s="132"/>
      <c r="G898" s="134"/>
      <c r="H898" s="132"/>
      <c r="I898" s="135"/>
      <c r="J898" s="148"/>
      <c r="K898" s="132"/>
      <c r="L898" s="16"/>
      <c r="M898" s="149"/>
      <c r="N898" s="137"/>
      <c r="O898" s="118"/>
      <c r="P898" s="131"/>
      <c r="Q898" s="150"/>
    </row>
    <row r="899">
      <c r="A899" s="151"/>
      <c r="B899" s="121"/>
      <c r="C899" s="122"/>
      <c r="D899" s="123"/>
      <c r="E899" s="124"/>
      <c r="F899" s="122"/>
      <c r="G899" s="125"/>
      <c r="H899" s="122"/>
      <c r="I899" s="126"/>
      <c r="J899" s="152"/>
      <c r="K899" s="122"/>
      <c r="L899" s="45"/>
      <c r="M899" s="153"/>
      <c r="N899" s="128"/>
      <c r="O899" s="129"/>
      <c r="P899" s="121"/>
      <c r="Q899" s="154"/>
    </row>
    <row r="900">
      <c r="A900" s="147"/>
      <c r="B900" s="131"/>
      <c r="C900" s="132"/>
      <c r="D900" s="119"/>
      <c r="E900" s="133"/>
      <c r="F900" s="132"/>
      <c r="G900" s="134"/>
      <c r="H900" s="132"/>
      <c r="I900" s="135"/>
      <c r="J900" s="148"/>
      <c r="K900" s="132"/>
      <c r="L900" s="16"/>
      <c r="M900" s="149"/>
      <c r="N900" s="137"/>
      <c r="O900" s="118"/>
      <c r="P900" s="131"/>
      <c r="Q900" s="150"/>
    </row>
    <row r="901">
      <c r="A901" s="151"/>
      <c r="B901" s="121"/>
      <c r="C901" s="122"/>
      <c r="D901" s="123"/>
      <c r="E901" s="124"/>
      <c r="F901" s="122"/>
      <c r="G901" s="125"/>
      <c r="H901" s="122"/>
      <c r="I901" s="126"/>
      <c r="J901" s="152"/>
      <c r="K901" s="122"/>
      <c r="L901" s="45"/>
      <c r="M901" s="153"/>
      <c r="N901" s="128"/>
      <c r="O901" s="129"/>
      <c r="P901" s="121"/>
      <c r="Q901" s="154"/>
    </row>
    <row r="902">
      <c r="A902" s="147"/>
      <c r="B902" s="131"/>
      <c r="C902" s="132"/>
      <c r="D902" s="119"/>
      <c r="E902" s="133"/>
      <c r="F902" s="132"/>
      <c r="G902" s="134"/>
      <c r="H902" s="132"/>
      <c r="I902" s="135"/>
      <c r="J902" s="148"/>
      <c r="K902" s="132"/>
      <c r="L902" s="16"/>
      <c r="M902" s="149"/>
      <c r="N902" s="137"/>
      <c r="O902" s="118"/>
      <c r="P902" s="131"/>
      <c r="Q902" s="150"/>
    </row>
    <row r="903">
      <c r="A903" s="151"/>
      <c r="B903" s="121"/>
      <c r="C903" s="122"/>
      <c r="D903" s="123"/>
      <c r="E903" s="124"/>
      <c r="F903" s="122"/>
      <c r="G903" s="125"/>
      <c r="H903" s="122"/>
      <c r="I903" s="126"/>
      <c r="J903" s="152"/>
      <c r="K903" s="122"/>
      <c r="L903" s="45"/>
      <c r="M903" s="153"/>
      <c r="N903" s="128"/>
      <c r="O903" s="129"/>
      <c r="P903" s="121"/>
      <c r="Q903" s="154"/>
    </row>
    <row r="904">
      <c r="A904" s="147"/>
      <c r="B904" s="131"/>
      <c r="C904" s="132"/>
      <c r="D904" s="119"/>
      <c r="E904" s="133"/>
      <c r="F904" s="132"/>
      <c r="G904" s="134"/>
      <c r="H904" s="132"/>
      <c r="I904" s="135"/>
      <c r="J904" s="148"/>
      <c r="K904" s="132"/>
      <c r="L904" s="16"/>
      <c r="M904" s="149"/>
      <c r="N904" s="137"/>
      <c r="O904" s="118"/>
      <c r="P904" s="131"/>
      <c r="Q904" s="150"/>
    </row>
    <row r="905">
      <c r="A905" s="151"/>
      <c r="B905" s="121"/>
      <c r="C905" s="122"/>
      <c r="D905" s="123"/>
      <c r="E905" s="124"/>
      <c r="F905" s="122"/>
      <c r="G905" s="125"/>
      <c r="H905" s="122"/>
      <c r="I905" s="126"/>
      <c r="J905" s="152"/>
      <c r="K905" s="122"/>
      <c r="L905" s="45"/>
      <c r="M905" s="153"/>
      <c r="N905" s="128"/>
      <c r="O905" s="129"/>
      <c r="P905" s="121"/>
      <c r="Q905" s="154"/>
    </row>
    <row r="906">
      <c r="A906" s="147"/>
      <c r="B906" s="131"/>
      <c r="C906" s="132"/>
      <c r="D906" s="119"/>
      <c r="E906" s="133"/>
      <c r="F906" s="132"/>
      <c r="G906" s="134"/>
      <c r="H906" s="132"/>
      <c r="I906" s="135"/>
      <c r="J906" s="148"/>
      <c r="K906" s="132"/>
      <c r="L906" s="16"/>
      <c r="M906" s="149"/>
      <c r="N906" s="137"/>
      <c r="O906" s="118"/>
      <c r="P906" s="131"/>
      <c r="Q906" s="150"/>
    </row>
    <row r="907">
      <c r="A907" s="151"/>
      <c r="B907" s="121"/>
      <c r="C907" s="122"/>
      <c r="D907" s="123"/>
      <c r="E907" s="124"/>
      <c r="F907" s="122"/>
      <c r="G907" s="125"/>
      <c r="H907" s="122"/>
      <c r="I907" s="126"/>
      <c r="J907" s="152"/>
      <c r="K907" s="122"/>
      <c r="L907" s="45"/>
      <c r="M907" s="153"/>
      <c r="N907" s="128"/>
      <c r="O907" s="129"/>
      <c r="P907" s="121"/>
      <c r="Q907" s="154"/>
    </row>
    <row r="908">
      <c r="A908" s="147"/>
      <c r="B908" s="131"/>
      <c r="C908" s="132"/>
      <c r="D908" s="119"/>
      <c r="E908" s="133"/>
      <c r="F908" s="132"/>
      <c r="G908" s="134"/>
      <c r="H908" s="132"/>
      <c r="I908" s="135"/>
      <c r="J908" s="148"/>
      <c r="K908" s="132"/>
      <c r="L908" s="16"/>
      <c r="M908" s="149"/>
      <c r="N908" s="137"/>
      <c r="O908" s="118"/>
      <c r="P908" s="131"/>
      <c r="Q908" s="150"/>
    </row>
    <row r="909">
      <c r="A909" s="151"/>
      <c r="B909" s="121"/>
      <c r="C909" s="122"/>
      <c r="D909" s="123"/>
      <c r="E909" s="124"/>
      <c r="F909" s="122"/>
      <c r="G909" s="125"/>
      <c r="H909" s="122"/>
      <c r="I909" s="126"/>
      <c r="J909" s="152"/>
      <c r="K909" s="122"/>
      <c r="L909" s="45"/>
      <c r="M909" s="153"/>
      <c r="N909" s="128"/>
      <c r="O909" s="129"/>
      <c r="P909" s="121"/>
      <c r="Q909" s="154"/>
    </row>
    <row r="910">
      <c r="A910" s="147"/>
      <c r="B910" s="131"/>
      <c r="C910" s="132"/>
      <c r="D910" s="119"/>
      <c r="E910" s="133"/>
      <c r="F910" s="132"/>
      <c r="G910" s="134"/>
      <c r="H910" s="132"/>
      <c r="I910" s="135"/>
      <c r="J910" s="148"/>
      <c r="K910" s="132"/>
      <c r="L910" s="16"/>
      <c r="M910" s="149"/>
      <c r="N910" s="137"/>
      <c r="O910" s="118"/>
      <c r="P910" s="131"/>
      <c r="Q910" s="150"/>
    </row>
    <row r="911">
      <c r="A911" s="151"/>
      <c r="B911" s="121"/>
      <c r="C911" s="122"/>
      <c r="D911" s="123"/>
      <c r="E911" s="124"/>
      <c r="F911" s="122"/>
      <c r="G911" s="125"/>
      <c r="H911" s="122"/>
      <c r="I911" s="126"/>
      <c r="J911" s="152"/>
      <c r="K911" s="122"/>
      <c r="L911" s="45"/>
      <c r="M911" s="153"/>
      <c r="N911" s="128"/>
      <c r="O911" s="129"/>
      <c r="P911" s="121"/>
      <c r="Q911" s="154"/>
    </row>
    <row r="912">
      <c r="A912" s="147"/>
      <c r="B912" s="131"/>
      <c r="C912" s="132"/>
      <c r="D912" s="119"/>
      <c r="E912" s="133"/>
      <c r="F912" s="132"/>
      <c r="G912" s="134"/>
      <c r="H912" s="132"/>
      <c r="I912" s="135"/>
      <c r="J912" s="148"/>
      <c r="K912" s="132"/>
      <c r="L912" s="16"/>
      <c r="M912" s="149"/>
      <c r="N912" s="137"/>
      <c r="O912" s="118"/>
      <c r="P912" s="131"/>
      <c r="Q912" s="150"/>
    </row>
    <row r="913">
      <c r="A913" s="151"/>
      <c r="B913" s="121"/>
      <c r="C913" s="122"/>
      <c r="D913" s="123"/>
      <c r="E913" s="124"/>
      <c r="F913" s="122"/>
      <c r="G913" s="125"/>
      <c r="H913" s="122"/>
      <c r="I913" s="126"/>
      <c r="J913" s="152"/>
      <c r="K913" s="122"/>
      <c r="L913" s="45"/>
      <c r="M913" s="153"/>
      <c r="N913" s="128"/>
      <c r="O913" s="129"/>
      <c r="P913" s="121"/>
      <c r="Q913" s="154"/>
    </row>
    <row r="914">
      <c r="A914" s="147"/>
      <c r="B914" s="131"/>
      <c r="C914" s="132"/>
      <c r="D914" s="119"/>
      <c r="E914" s="133"/>
      <c r="F914" s="132"/>
      <c r="G914" s="134"/>
      <c r="H914" s="132"/>
      <c r="I914" s="135"/>
      <c r="J914" s="148"/>
      <c r="K914" s="132"/>
      <c r="L914" s="16"/>
      <c r="M914" s="149"/>
      <c r="N914" s="137"/>
      <c r="O914" s="118"/>
      <c r="P914" s="131"/>
      <c r="Q914" s="150"/>
    </row>
    <row r="915">
      <c r="A915" s="151"/>
      <c r="B915" s="121"/>
      <c r="C915" s="122"/>
      <c r="D915" s="123"/>
      <c r="E915" s="124"/>
      <c r="F915" s="122"/>
      <c r="G915" s="125"/>
      <c r="H915" s="122"/>
      <c r="I915" s="126"/>
      <c r="J915" s="152"/>
      <c r="K915" s="122"/>
      <c r="L915" s="45"/>
      <c r="M915" s="153"/>
      <c r="N915" s="128"/>
      <c r="O915" s="129"/>
      <c r="P915" s="121"/>
      <c r="Q915" s="154"/>
    </row>
    <row r="916">
      <c r="A916" s="147"/>
      <c r="B916" s="131"/>
      <c r="C916" s="132"/>
      <c r="D916" s="119"/>
      <c r="E916" s="133"/>
      <c r="F916" s="132"/>
      <c r="G916" s="134"/>
      <c r="H916" s="132"/>
      <c r="I916" s="135"/>
      <c r="J916" s="148"/>
      <c r="K916" s="132"/>
      <c r="L916" s="16"/>
      <c r="M916" s="149"/>
      <c r="N916" s="137"/>
      <c r="O916" s="118"/>
      <c r="P916" s="131"/>
      <c r="Q916" s="150"/>
    </row>
    <row r="917">
      <c r="A917" s="151"/>
      <c r="B917" s="121"/>
      <c r="C917" s="122"/>
      <c r="D917" s="123"/>
      <c r="E917" s="124"/>
      <c r="F917" s="122"/>
      <c r="G917" s="125"/>
      <c r="H917" s="122"/>
      <c r="I917" s="126"/>
      <c r="J917" s="152"/>
      <c r="K917" s="122"/>
      <c r="L917" s="45"/>
      <c r="M917" s="153"/>
      <c r="N917" s="128"/>
      <c r="O917" s="129"/>
      <c r="P917" s="121"/>
      <c r="Q917" s="154"/>
    </row>
    <row r="918">
      <c r="A918" s="147"/>
      <c r="B918" s="131"/>
      <c r="C918" s="132"/>
      <c r="D918" s="119"/>
      <c r="E918" s="133"/>
      <c r="F918" s="132"/>
      <c r="G918" s="134"/>
      <c r="H918" s="132"/>
      <c r="I918" s="135"/>
      <c r="J918" s="148"/>
      <c r="K918" s="132"/>
      <c r="L918" s="16"/>
      <c r="M918" s="149"/>
      <c r="N918" s="137"/>
      <c r="O918" s="118"/>
      <c r="P918" s="131"/>
      <c r="Q918" s="150"/>
    </row>
    <row r="919">
      <c r="A919" s="151"/>
      <c r="B919" s="121"/>
      <c r="C919" s="122"/>
      <c r="D919" s="123"/>
      <c r="E919" s="124"/>
      <c r="F919" s="122"/>
      <c r="G919" s="125"/>
      <c r="H919" s="122"/>
      <c r="I919" s="126"/>
      <c r="J919" s="152"/>
      <c r="K919" s="122"/>
      <c r="L919" s="45"/>
      <c r="M919" s="153"/>
      <c r="N919" s="128"/>
      <c r="O919" s="129"/>
      <c r="P919" s="121"/>
      <c r="Q919" s="154"/>
    </row>
    <row r="920">
      <c r="A920" s="147"/>
      <c r="B920" s="131"/>
      <c r="C920" s="132"/>
      <c r="D920" s="119"/>
      <c r="E920" s="133"/>
      <c r="F920" s="132"/>
      <c r="G920" s="134"/>
      <c r="H920" s="132"/>
      <c r="I920" s="135"/>
      <c r="J920" s="148"/>
      <c r="K920" s="132"/>
      <c r="L920" s="16"/>
      <c r="M920" s="149"/>
      <c r="N920" s="137"/>
      <c r="O920" s="118"/>
      <c r="P920" s="131"/>
      <c r="Q920" s="150"/>
    </row>
    <row r="921">
      <c r="A921" s="151"/>
      <c r="B921" s="121"/>
      <c r="C921" s="122"/>
      <c r="D921" s="123"/>
      <c r="E921" s="124"/>
      <c r="F921" s="122"/>
      <c r="G921" s="125"/>
      <c r="H921" s="122"/>
      <c r="I921" s="126"/>
      <c r="J921" s="152"/>
      <c r="K921" s="122"/>
      <c r="L921" s="45"/>
      <c r="M921" s="153"/>
      <c r="N921" s="128"/>
      <c r="O921" s="129"/>
      <c r="P921" s="121"/>
      <c r="Q921" s="154"/>
    </row>
    <row r="922">
      <c r="A922" s="147"/>
      <c r="B922" s="131"/>
      <c r="C922" s="132"/>
      <c r="D922" s="119"/>
      <c r="E922" s="133"/>
      <c r="F922" s="132"/>
      <c r="G922" s="134"/>
      <c r="H922" s="132"/>
      <c r="I922" s="135"/>
      <c r="J922" s="148"/>
      <c r="K922" s="132"/>
      <c r="L922" s="16"/>
      <c r="M922" s="149"/>
      <c r="N922" s="137"/>
      <c r="O922" s="118"/>
      <c r="P922" s="131"/>
      <c r="Q922" s="150"/>
    </row>
    <row r="923">
      <c r="A923" s="151"/>
      <c r="B923" s="121"/>
      <c r="C923" s="122"/>
      <c r="D923" s="123"/>
      <c r="E923" s="124"/>
      <c r="F923" s="122"/>
      <c r="G923" s="125"/>
      <c r="H923" s="122"/>
      <c r="I923" s="126"/>
      <c r="J923" s="152"/>
      <c r="K923" s="122"/>
      <c r="L923" s="45"/>
      <c r="M923" s="153"/>
      <c r="N923" s="128"/>
      <c r="O923" s="129"/>
      <c r="P923" s="121"/>
      <c r="Q923" s="154"/>
    </row>
    <row r="924">
      <c r="A924" s="147"/>
      <c r="B924" s="131"/>
      <c r="C924" s="132"/>
      <c r="D924" s="119"/>
      <c r="E924" s="133"/>
      <c r="F924" s="132"/>
      <c r="G924" s="134"/>
      <c r="H924" s="132"/>
      <c r="I924" s="135"/>
      <c r="J924" s="148"/>
      <c r="K924" s="132"/>
      <c r="L924" s="16"/>
      <c r="M924" s="149"/>
      <c r="N924" s="137"/>
      <c r="O924" s="118"/>
      <c r="P924" s="131"/>
      <c r="Q924" s="150"/>
    </row>
    <row r="925">
      <c r="A925" s="151"/>
      <c r="B925" s="121"/>
      <c r="C925" s="122"/>
      <c r="D925" s="123"/>
      <c r="E925" s="124"/>
      <c r="F925" s="122"/>
      <c r="G925" s="125"/>
      <c r="H925" s="122"/>
      <c r="I925" s="126"/>
      <c r="J925" s="152"/>
      <c r="K925" s="122"/>
      <c r="L925" s="45"/>
      <c r="M925" s="153"/>
      <c r="N925" s="128"/>
      <c r="O925" s="129"/>
      <c r="P925" s="121"/>
      <c r="Q925" s="154"/>
    </row>
    <row r="926">
      <c r="A926" s="147"/>
      <c r="B926" s="131"/>
      <c r="C926" s="132"/>
      <c r="D926" s="119"/>
      <c r="E926" s="133"/>
      <c r="F926" s="132"/>
      <c r="G926" s="134"/>
      <c r="H926" s="132"/>
      <c r="I926" s="135"/>
      <c r="J926" s="148"/>
      <c r="K926" s="132"/>
      <c r="L926" s="16"/>
      <c r="M926" s="149"/>
      <c r="N926" s="137"/>
      <c r="O926" s="118"/>
      <c r="P926" s="131"/>
      <c r="Q926" s="150"/>
    </row>
    <row r="927">
      <c r="A927" s="151"/>
      <c r="B927" s="121"/>
      <c r="C927" s="122"/>
      <c r="D927" s="123"/>
      <c r="E927" s="124"/>
      <c r="F927" s="122"/>
      <c r="G927" s="125"/>
      <c r="H927" s="122"/>
      <c r="I927" s="126"/>
      <c r="J927" s="152"/>
      <c r="K927" s="122"/>
      <c r="L927" s="45"/>
      <c r="M927" s="153"/>
      <c r="N927" s="128"/>
      <c r="O927" s="129"/>
      <c r="P927" s="121"/>
      <c r="Q927" s="154"/>
    </row>
    <row r="928">
      <c r="A928" s="147"/>
      <c r="B928" s="131"/>
      <c r="C928" s="132"/>
      <c r="D928" s="119"/>
      <c r="E928" s="133"/>
      <c r="F928" s="132"/>
      <c r="G928" s="134"/>
      <c r="H928" s="132"/>
      <c r="I928" s="135"/>
      <c r="J928" s="148"/>
      <c r="K928" s="132"/>
      <c r="L928" s="16"/>
      <c r="M928" s="149"/>
      <c r="N928" s="137"/>
      <c r="O928" s="118"/>
      <c r="P928" s="131"/>
      <c r="Q928" s="150"/>
    </row>
    <row r="929">
      <c r="A929" s="151"/>
      <c r="B929" s="121"/>
      <c r="C929" s="122"/>
      <c r="D929" s="123"/>
      <c r="E929" s="124"/>
      <c r="F929" s="122"/>
      <c r="G929" s="125"/>
      <c r="H929" s="122"/>
      <c r="I929" s="126"/>
      <c r="J929" s="152"/>
      <c r="K929" s="122"/>
      <c r="L929" s="45"/>
      <c r="M929" s="153"/>
      <c r="N929" s="128"/>
      <c r="O929" s="129"/>
      <c r="P929" s="121"/>
      <c r="Q929" s="154"/>
    </row>
    <row r="930">
      <c r="A930" s="147"/>
      <c r="B930" s="131"/>
      <c r="C930" s="132"/>
      <c r="D930" s="119"/>
      <c r="E930" s="133"/>
      <c r="F930" s="132"/>
      <c r="G930" s="134"/>
      <c r="H930" s="132"/>
      <c r="I930" s="135"/>
      <c r="J930" s="148"/>
      <c r="K930" s="132"/>
      <c r="L930" s="16"/>
      <c r="M930" s="149"/>
      <c r="N930" s="137"/>
      <c r="O930" s="118"/>
      <c r="P930" s="131"/>
      <c r="Q930" s="150"/>
    </row>
    <row r="931">
      <c r="A931" s="151"/>
      <c r="B931" s="121"/>
      <c r="C931" s="122"/>
      <c r="D931" s="123"/>
      <c r="E931" s="124"/>
      <c r="F931" s="122"/>
      <c r="G931" s="125"/>
      <c r="H931" s="122"/>
      <c r="I931" s="126"/>
      <c r="J931" s="152"/>
      <c r="K931" s="122"/>
      <c r="L931" s="45"/>
      <c r="M931" s="153"/>
      <c r="N931" s="128"/>
      <c r="O931" s="129"/>
      <c r="P931" s="121"/>
      <c r="Q931" s="154"/>
    </row>
    <row r="932">
      <c r="A932" s="147"/>
      <c r="B932" s="131"/>
      <c r="C932" s="132"/>
      <c r="D932" s="119"/>
      <c r="E932" s="133"/>
      <c r="F932" s="132"/>
      <c r="G932" s="134"/>
      <c r="H932" s="132"/>
      <c r="I932" s="135"/>
      <c r="J932" s="148"/>
      <c r="K932" s="132"/>
      <c r="L932" s="16"/>
      <c r="M932" s="149"/>
      <c r="N932" s="137"/>
      <c r="O932" s="118"/>
      <c r="P932" s="131"/>
      <c r="Q932" s="150"/>
    </row>
    <row r="933">
      <c r="A933" s="151"/>
      <c r="B933" s="121"/>
      <c r="C933" s="122"/>
      <c r="D933" s="123"/>
      <c r="E933" s="124"/>
      <c r="F933" s="122"/>
      <c r="G933" s="125"/>
      <c r="H933" s="122"/>
      <c r="I933" s="126"/>
      <c r="J933" s="152"/>
      <c r="K933" s="122"/>
      <c r="L933" s="45"/>
      <c r="M933" s="153"/>
      <c r="N933" s="128"/>
      <c r="O933" s="129"/>
      <c r="P933" s="121"/>
      <c r="Q933" s="154"/>
    </row>
    <row r="934">
      <c r="A934" s="147"/>
      <c r="B934" s="131"/>
      <c r="C934" s="132"/>
      <c r="D934" s="119"/>
      <c r="E934" s="133"/>
      <c r="F934" s="132"/>
      <c r="G934" s="134"/>
      <c r="H934" s="132"/>
      <c r="I934" s="135"/>
      <c r="J934" s="148"/>
      <c r="K934" s="132"/>
      <c r="L934" s="16"/>
      <c r="M934" s="149"/>
      <c r="N934" s="137"/>
      <c r="O934" s="118"/>
      <c r="P934" s="131"/>
      <c r="Q934" s="150"/>
    </row>
    <row r="935">
      <c r="A935" s="151"/>
      <c r="B935" s="121"/>
      <c r="C935" s="122"/>
      <c r="D935" s="123"/>
      <c r="E935" s="124"/>
      <c r="F935" s="122"/>
      <c r="G935" s="125"/>
      <c r="H935" s="122"/>
      <c r="I935" s="126"/>
      <c r="J935" s="152"/>
      <c r="K935" s="122"/>
      <c r="L935" s="45"/>
      <c r="M935" s="153"/>
      <c r="N935" s="128"/>
      <c r="O935" s="129"/>
      <c r="P935" s="121"/>
      <c r="Q935" s="154"/>
    </row>
    <row r="936">
      <c r="A936" s="147"/>
      <c r="B936" s="131"/>
      <c r="C936" s="132"/>
      <c r="D936" s="119"/>
      <c r="E936" s="133"/>
      <c r="F936" s="132"/>
      <c r="G936" s="134"/>
      <c r="H936" s="132"/>
      <c r="I936" s="135"/>
      <c r="J936" s="148"/>
      <c r="K936" s="132"/>
      <c r="L936" s="16"/>
      <c r="M936" s="149"/>
      <c r="N936" s="137"/>
      <c r="O936" s="118"/>
      <c r="P936" s="131"/>
      <c r="Q936" s="150"/>
    </row>
    <row r="937">
      <c r="A937" s="151"/>
      <c r="B937" s="121"/>
      <c r="C937" s="122"/>
      <c r="D937" s="123"/>
      <c r="E937" s="124"/>
      <c r="F937" s="122"/>
      <c r="G937" s="125"/>
      <c r="H937" s="122"/>
      <c r="I937" s="126"/>
      <c r="J937" s="152"/>
      <c r="K937" s="122"/>
      <c r="L937" s="45"/>
      <c r="M937" s="153"/>
      <c r="N937" s="128"/>
      <c r="O937" s="129"/>
      <c r="P937" s="121"/>
      <c r="Q937" s="154"/>
    </row>
    <row r="938">
      <c r="A938" s="147"/>
      <c r="B938" s="131"/>
      <c r="C938" s="132"/>
      <c r="D938" s="119"/>
      <c r="E938" s="133"/>
      <c r="F938" s="132"/>
      <c r="G938" s="134"/>
      <c r="H938" s="132"/>
      <c r="I938" s="135"/>
      <c r="J938" s="148"/>
      <c r="K938" s="132"/>
      <c r="L938" s="16"/>
      <c r="M938" s="149"/>
      <c r="N938" s="137"/>
      <c r="O938" s="118"/>
      <c r="P938" s="131"/>
      <c r="Q938" s="150"/>
    </row>
    <row r="939">
      <c r="A939" s="151"/>
      <c r="B939" s="121"/>
      <c r="C939" s="122"/>
      <c r="D939" s="123"/>
      <c r="E939" s="124"/>
      <c r="F939" s="122"/>
      <c r="G939" s="125"/>
      <c r="H939" s="122"/>
      <c r="I939" s="126"/>
      <c r="J939" s="152"/>
      <c r="K939" s="122"/>
      <c r="L939" s="45"/>
      <c r="M939" s="153"/>
      <c r="N939" s="128"/>
      <c r="O939" s="129"/>
      <c r="P939" s="121"/>
      <c r="Q939" s="154"/>
    </row>
    <row r="940">
      <c r="A940" s="147"/>
      <c r="B940" s="131"/>
      <c r="C940" s="132"/>
      <c r="D940" s="119"/>
      <c r="E940" s="133"/>
      <c r="F940" s="132"/>
      <c r="G940" s="134"/>
      <c r="H940" s="132"/>
      <c r="I940" s="135"/>
      <c r="J940" s="148"/>
      <c r="K940" s="132"/>
      <c r="L940" s="16"/>
      <c r="M940" s="149"/>
      <c r="N940" s="137"/>
      <c r="O940" s="118"/>
      <c r="P940" s="131"/>
      <c r="Q940" s="150"/>
    </row>
    <row r="941">
      <c r="A941" s="151"/>
      <c r="B941" s="121"/>
      <c r="C941" s="122"/>
      <c r="D941" s="123"/>
      <c r="E941" s="124"/>
      <c r="F941" s="122"/>
      <c r="G941" s="125"/>
      <c r="H941" s="122"/>
      <c r="I941" s="126"/>
      <c r="J941" s="152"/>
      <c r="K941" s="122"/>
      <c r="L941" s="45"/>
      <c r="M941" s="153"/>
      <c r="N941" s="128"/>
      <c r="O941" s="129"/>
      <c r="P941" s="121"/>
      <c r="Q941" s="154"/>
    </row>
    <row r="942">
      <c r="A942" s="147"/>
      <c r="B942" s="131"/>
      <c r="C942" s="132"/>
      <c r="D942" s="119"/>
      <c r="E942" s="133"/>
      <c r="F942" s="132"/>
      <c r="G942" s="134"/>
      <c r="H942" s="132"/>
      <c r="I942" s="135"/>
      <c r="J942" s="148"/>
      <c r="K942" s="132"/>
      <c r="L942" s="16"/>
      <c r="M942" s="149"/>
      <c r="N942" s="137"/>
      <c r="O942" s="118"/>
      <c r="P942" s="131"/>
      <c r="Q942" s="150"/>
    </row>
    <row r="943">
      <c r="A943" s="151"/>
      <c r="B943" s="121"/>
      <c r="C943" s="122"/>
      <c r="D943" s="123"/>
      <c r="E943" s="124"/>
      <c r="F943" s="122"/>
      <c r="G943" s="125"/>
      <c r="H943" s="122"/>
      <c r="I943" s="126"/>
      <c r="J943" s="152"/>
      <c r="K943" s="122"/>
      <c r="L943" s="45"/>
      <c r="M943" s="153"/>
      <c r="N943" s="128"/>
      <c r="O943" s="129"/>
      <c r="P943" s="121"/>
      <c r="Q943" s="154"/>
    </row>
    <row r="944">
      <c r="A944" s="147"/>
      <c r="B944" s="131"/>
      <c r="C944" s="132"/>
      <c r="D944" s="119"/>
      <c r="E944" s="133"/>
      <c r="F944" s="132"/>
      <c r="G944" s="134"/>
      <c r="H944" s="132"/>
      <c r="I944" s="135"/>
      <c r="J944" s="148"/>
      <c r="K944" s="132"/>
      <c r="L944" s="16"/>
      <c r="M944" s="149"/>
      <c r="N944" s="137"/>
      <c r="O944" s="118"/>
      <c r="P944" s="131"/>
      <c r="Q944" s="150"/>
    </row>
    <row r="945">
      <c r="A945" s="151"/>
      <c r="B945" s="121"/>
      <c r="C945" s="122"/>
      <c r="D945" s="123"/>
      <c r="E945" s="124"/>
      <c r="F945" s="122"/>
      <c r="G945" s="125"/>
      <c r="H945" s="122"/>
      <c r="I945" s="126"/>
      <c r="J945" s="152"/>
      <c r="K945" s="122"/>
      <c r="L945" s="45"/>
      <c r="M945" s="153"/>
      <c r="N945" s="128"/>
      <c r="O945" s="129"/>
      <c r="P945" s="121"/>
      <c r="Q945" s="154"/>
    </row>
    <row r="946">
      <c r="A946" s="147"/>
      <c r="B946" s="131"/>
      <c r="C946" s="132"/>
      <c r="D946" s="119"/>
      <c r="E946" s="133"/>
      <c r="F946" s="132"/>
      <c r="G946" s="134"/>
      <c r="H946" s="132"/>
      <c r="I946" s="135"/>
      <c r="J946" s="148"/>
      <c r="K946" s="132"/>
      <c r="L946" s="16"/>
      <c r="M946" s="149"/>
      <c r="N946" s="137"/>
      <c r="O946" s="118"/>
      <c r="P946" s="131"/>
      <c r="Q946" s="150"/>
    </row>
    <row r="947">
      <c r="A947" s="151"/>
      <c r="B947" s="121"/>
      <c r="C947" s="122"/>
      <c r="D947" s="123"/>
      <c r="E947" s="124"/>
      <c r="F947" s="122"/>
      <c r="G947" s="125"/>
      <c r="H947" s="122"/>
      <c r="I947" s="126"/>
      <c r="J947" s="152"/>
      <c r="K947" s="122"/>
      <c r="L947" s="45"/>
      <c r="M947" s="153"/>
      <c r="N947" s="128"/>
      <c r="O947" s="129"/>
      <c r="P947" s="121"/>
      <c r="Q947" s="154"/>
    </row>
    <row r="948">
      <c r="A948" s="147"/>
      <c r="B948" s="131"/>
      <c r="C948" s="132"/>
      <c r="D948" s="119"/>
      <c r="E948" s="133"/>
      <c r="F948" s="132"/>
      <c r="G948" s="134"/>
      <c r="H948" s="132"/>
      <c r="I948" s="135"/>
      <c r="J948" s="148"/>
      <c r="K948" s="132"/>
      <c r="L948" s="16"/>
      <c r="M948" s="149"/>
      <c r="N948" s="137"/>
      <c r="O948" s="118"/>
      <c r="P948" s="131"/>
      <c r="Q948" s="150"/>
    </row>
    <row r="949">
      <c r="A949" s="151"/>
      <c r="B949" s="121"/>
      <c r="C949" s="122"/>
      <c r="D949" s="123"/>
      <c r="E949" s="124"/>
      <c r="F949" s="122"/>
      <c r="G949" s="125"/>
      <c r="H949" s="122"/>
      <c r="I949" s="126"/>
      <c r="J949" s="152"/>
      <c r="K949" s="122"/>
      <c r="L949" s="45"/>
      <c r="M949" s="153"/>
      <c r="N949" s="128"/>
      <c r="O949" s="129"/>
      <c r="P949" s="121"/>
      <c r="Q949" s="154"/>
    </row>
    <row r="950">
      <c r="A950" s="147"/>
      <c r="B950" s="131"/>
      <c r="C950" s="132"/>
      <c r="D950" s="119"/>
      <c r="E950" s="133"/>
      <c r="F950" s="132"/>
      <c r="G950" s="134"/>
      <c r="H950" s="132"/>
      <c r="I950" s="135"/>
      <c r="J950" s="148"/>
      <c r="K950" s="132"/>
      <c r="L950" s="16"/>
      <c r="M950" s="149"/>
      <c r="N950" s="137"/>
      <c r="O950" s="118"/>
      <c r="P950" s="131"/>
      <c r="Q950" s="150"/>
    </row>
    <row r="951">
      <c r="A951" s="151"/>
      <c r="B951" s="121"/>
      <c r="C951" s="122"/>
      <c r="D951" s="123"/>
      <c r="E951" s="124"/>
      <c r="F951" s="122"/>
      <c r="G951" s="125"/>
      <c r="H951" s="122"/>
      <c r="I951" s="126"/>
      <c r="J951" s="152"/>
      <c r="K951" s="122"/>
      <c r="L951" s="45"/>
      <c r="M951" s="153"/>
      <c r="N951" s="128"/>
      <c r="O951" s="129"/>
      <c r="P951" s="121"/>
      <c r="Q951" s="154"/>
    </row>
    <row r="952">
      <c r="A952" s="147"/>
      <c r="B952" s="131"/>
      <c r="C952" s="132"/>
      <c r="D952" s="119"/>
      <c r="E952" s="133"/>
      <c r="F952" s="132"/>
      <c r="G952" s="134"/>
      <c r="H952" s="132"/>
      <c r="I952" s="135"/>
      <c r="J952" s="148"/>
      <c r="K952" s="132"/>
      <c r="L952" s="16"/>
      <c r="M952" s="149"/>
      <c r="N952" s="137"/>
      <c r="O952" s="118"/>
      <c r="P952" s="131"/>
      <c r="Q952" s="150"/>
    </row>
    <row r="953">
      <c r="A953" s="151"/>
      <c r="B953" s="121"/>
      <c r="C953" s="122"/>
      <c r="D953" s="123"/>
      <c r="E953" s="124"/>
      <c r="F953" s="122"/>
      <c r="G953" s="125"/>
      <c r="H953" s="122"/>
      <c r="I953" s="126"/>
      <c r="J953" s="152"/>
      <c r="K953" s="122"/>
      <c r="L953" s="45"/>
      <c r="M953" s="153"/>
      <c r="N953" s="128"/>
      <c r="O953" s="129"/>
      <c r="P953" s="121"/>
      <c r="Q953" s="154"/>
    </row>
    <row r="954">
      <c r="A954" s="147"/>
      <c r="B954" s="131"/>
      <c r="C954" s="132"/>
      <c r="D954" s="119"/>
      <c r="E954" s="133"/>
      <c r="F954" s="132"/>
      <c r="G954" s="134"/>
      <c r="H954" s="132"/>
      <c r="I954" s="135"/>
      <c r="J954" s="148"/>
      <c r="K954" s="132"/>
      <c r="L954" s="16"/>
      <c r="M954" s="149"/>
      <c r="N954" s="137"/>
      <c r="O954" s="118"/>
      <c r="P954" s="131"/>
      <c r="Q954" s="150"/>
    </row>
    <row r="955">
      <c r="A955" s="151"/>
      <c r="B955" s="121"/>
      <c r="C955" s="122"/>
      <c r="D955" s="123"/>
      <c r="E955" s="124"/>
      <c r="F955" s="122"/>
      <c r="G955" s="125"/>
      <c r="H955" s="122"/>
      <c r="I955" s="126"/>
      <c r="J955" s="152"/>
      <c r="K955" s="122"/>
      <c r="L955" s="45"/>
      <c r="M955" s="153"/>
      <c r="N955" s="128"/>
      <c r="O955" s="129"/>
      <c r="P955" s="121"/>
      <c r="Q955" s="154"/>
    </row>
    <row r="956">
      <c r="A956" s="147"/>
      <c r="B956" s="131"/>
      <c r="C956" s="132"/>
      <c r="D956" s="119"/>
      <c r="E956" s="133"/>
      <c r="F956" s="132"/>
      <c r="G956" s="134"/>
      <c r="H956" s="132"/>
      <c r="I956" s="135"/>
      <c r="J956" s="148"/>
      <c r="K956" s="132"/>
      <c r="L956" s="16"/>
      <c r="M956" s="149"/>
      <c r="N956" s="137"/>
      <c r="O956" s="118"/>
      <c r="P956" s="131"/>
      <c r="Q956" s="150"/>
    </row>
    <row r="957">
      <c r="A957" s="151"/>
      <c r="B957" s="121"/>
      <c r="C957" s="122"/>
      <c r="D957" s="123"/>
      <c r="E957" s="124"/>
      <c r="F957" s="122"/>
      <c r="G957" s="125"/>
      <c r="H957" s="122"/>
      <c r="I957" s="126"/>
      <c r="J957" s="152"/>
      <c r="K957" s="122"/>
      <c r="L957" s="45"/>
      <c r="M957" s="153"/>
      <c r="N957" s="128"/>
      <c r="O957" s="129"/>
      <c r="P957" s="121"/>
      <c r="Q957" s="154"/>
    </row>
    <row r="958">
      <c r="A958" s="147"/>
      <c r="B958" s="131"/>
      <c r="C958" s="132"/>
      <c r="D958" s="119"/>
      <c r="E958" s="133"/>
      <c r="F958" s="132"/>
      <c r="G958" s="134"/>
      <c r="H958" s="132"/>
      <c r="I958" s="135"/>
      <c r="J958" s="148"/>
      <c r="K958" s="132"/>
      <c r="L958" s="16"/>
      <c r="M958" s="149"/>
      <c r="N958" s="137"/>
      <c r="O958" s="118"/>
      <c r="P958" s="131"/>
      <c r="Q958" s="150"/>
    </row>
    <row r="959">
      <c r="A959" s="151"/>
      <c r="B959" s="121"/>
      <c r="C959" s="122"/>
      <c r="D959" s="123"/>
      <c r="E959" s="124"/>
      <c r="F959" s="122"/>
      <c r="G959" s="125"/>
      <c r="H959" s="122"/>
      <c r="I959" s="126"/>
      <c r="J959" s="152"/>
      <c r="K959" s="122"/>
      <c r="L959" s="45"/>
      <c r="M959" s="153"/>
      <c r="N959" s="128"/>
      <c r="O959" s="129"/>
      <c r="P959" s="121"/>
      <c r="Q959" s="154"/>
    </row>
    <row r="960">
      <c r="A960" s="147"/>
      <c r="B960" s="131"/>
      <c r="C960" s="132"/>
      <c r="D960" s="119"/>
      <c r="E960" s="133"/>
      <c r="F960" s="132"/>
      <c r="G960" s="134"/>
      <c r="H960" s="132"/>
      <c r="I960" s="135"/>
      <c r="J960" s="148"/>
      <c r="K960" s="132"/>
      <c r="L960" s="16"/>
      <c r="M960" s="149"/>
      <c r="N960" s="137"/>
      <c r="O960" s="118"/>
      <c r="P960" s="131"/>
      <c r="Q960" s="150"/>
    </row>
    <row r="961">
      <c r="A961" s="151"/>
      <c r="B961" s="121"/>
      <c r="C961" s="122"/>
      <c r="D961" s="123"/>
      <c r="E961" s="124"/>
      <c r="F961" s="122"/>
      <c r="G961" s="125"/>
      <c r="H961" s="122"/>
      <c r="I961" s="126"/>
      <c r="J961" s="152"/>
      <c r="K961" s="122"/>
      <c r="L961" s="45"/>
      <c r="M961" s="153"/>
      <c r="N961" s="128"/>
      <c r="O961" s="129"/>
      <c r="P961" s="121"/>
      <c r="Q961" s="154"/>
    </row>
    <row r="962">
      <c r="A962" s="147"/>
      <c r="B962" s="131"/>
      <c r="C962" s="132"/>
      <c r="D962" s="119"/>
      <c r="E962" s="133"/>
      <c r="F962" s="132"/>
      <c r="G962" s="134"/>
      <c r="H962" s="132"/>
      <c r="I962" s="135"/>
      <c r="J962" s="148"/>
      <c r="K962" s="132"/>
      <c r="L962" s="16"/>
      <c r="M962" s="149"/>
      <c r="N962" s="137"/>
      <c r="O962" s="118"/>
      <c r="P962" s="131"/>
      <c r="Q962" s="150"/>
    </row>
    <row r="963">
      <c r="A963" s="151"/>
      <c r="B963" s="121"/>
      <c r="C963" s="122"/>
      <c r="D963" s="123"/>
      <c r="E963" s="124"/>
      <c r="F963" s="122"/>
      <c r="G963" s="125"/>
      <c r="H963" s="122"/>
      <c r="I963" s="126"/>
      <c r="J963" s="152"/>
      <c r="K963" s="122"/>
      <c r="L963" s="45"/>
      <c r="M963" s="153"/>
      <c r="N963" s="128"/>
      <c r="O963" s="129"/>
      <c r="P963" s="121"/>
      <c r="Q963" s="154"/>
    </row>
    <row r="964">
      <c r="A964" s="147"/>
      <c r="B964" s="131"/>
      <c r="C964" s="132"/>
      <c r="D964" s="119"/>
      <c r="E964" s="133"/>
      <c r="F964" s="132"/>
      <c r="G964" s="134"/>
      <c r="H964" s="132"/>
      <c r="I964" s="135"/>
      <c r="J964" s="148"/>
      <c r="K964" s="132"/>
      <c r="L964" s="16"/>
      <c r="M964" s="149"/>
      <c r="N964" s="137"/>
      <c r="O964" s="118"/>
      <c r="P964" s="131"/>
      <c r="Q964" s="150"/>
    </row>
    <row r="965">
      <c r="A965" s="151"/>
      <c r="B965" s="121"/>
      <c r="C965" s="122"/>
      <c r="D965" s="123"/>
      <c r="E965" s="124"/>
      <c r="F965" s="122"/>
      <c r="G965" s="125"/>
      <c r="H965" s="122"/>
      <c r="I965" s="126"/>
      <c r="J965" s="152"/>
      <c r="K965" s="122"/>
      <c r="L965" s="45"/>
      <c r="M965" s="153"/>
      <c r="N965" s="128"/>
      <c r="O965" s="129"/>
      <c r="P965" s="121"/>
      <c r="Q965" s="154"/>
    </row>
    <row r="966">
      <c r="A966" s="147"/>
      <c r="B966" s="131"/>
      <c r="C966" s="132"/>
      <c r="D966" s="119"/>
      <c r="E966" s="133"/>
      <c r="F966" s="132"/>
      <c r="G966" s="134"/>
      <c r="H966" s="132"/>
      <c r="I966" s="135"/>
      <c r="J966" s="148"/>
      <c r="K966" s="132"/>
      <c r="L966" s="16"/>
      <c r="M966" s="149"/>
      <c r="N966" s="137"/>
      <c r="O966" s="118"/>
      <c r="P966" s="131"/>
      <c r="Q966" s="150"/>
    </row>
    <row r="967">
      <c r="A967" s="151"/>
      <c r="B967" s="121"/>
      <c r="C967" s="122"/>
      <c r="D967" s="123"/>
      <c r="E967" s="124"/>
      <c r="F967" s="122"/>
      <c r="G967" s="125"/>
      <c r="H967" s="122"/>
      <c r="I967" s="126"/>
      <c r="J967" s="152"/>
      <c r="K967" s="122"/>
      <c r="L967" s="45"/>
      <c r="M967" s="153"/>
      <c r="N967" s="128"/>
      <c r="O967" s="129"/>
      <c r="P967" s="121"/>
      <c r="Q967" s="154"/>
    </row>
    <row r="968">
      <c r="A968" s="147"/>
      <c r="B968" s="131"/>
      <c r="C968" s="132"/>
      <c r="D968" s="119"/>
      <c r="E968" s="133"/>
      <c r="F968" s="132"/>
      <c r="G968" s="134"/>
      <c r="H968" s="132"/>
      <c r="I968" s="135"/>
      <c r="J968" s="148"/>
      <c r="K968" s="132"/>
      <c r="L968" s="16"/>
      <c r="M968" s="149"/>
      <c r="N968" s="137"/>
      <c r="O968" s="118"/>
      <c r="P968" s="131"/>
      <c r="Q968" s="150"/>
    </row>
    <row r="969">
      <c r="A969" s="151"/>
      <c r="B969" s="121"/>
      <c r="C969" s="122"/>
      <c r="D969" s="123"/>
      <c r="E969" s="124"/>
      <c r="F969" s="122"/>
      <c r="G969" s="125"/>
      <c r="H969" s="122"/>
      <c r="I969" s="126"/>
      <c r="J969" s="152"/>
      <c r="K969" s="122"/>
      <c r="L969" s="45"/>
      <c r="M969" s="153"/>
      <c r="N969" s="128"/>
      <c r="O969" s="129"/>
      <c r="P969" s="121"/>
      <c r="Q969" s="154"/>
    </row>
    <row r="970">
      <c r="A970" s="147"/>
      <c r="B970" s="131"/>
      <c r="C970" s="132"/>
      <c r="D970" s="119"/>
      <c r="E970" s="133"/>
      <c r="F970" s="132"/>
      <c r="G970" s="134"/>
      <c r="H970" s="132"/>
      <c r="I970" s="135"/>
      <c r="J970" s="148"/>
      <c r="K970" s="132"/>
      <c r="L970" s="16"/>
      <c r="M970" s="149"/>
      <c r="N970" s="137"/>
      <c r="O970" s="118"/>
      <c r="P970" s="131"/>
      <c r="Q970" s="150"/>
    </row>
    <row r="971">
      <c r="A971" s="151"/>
      <c r="B971" s="121"/>
      <c r="C971" s="122"/>
      <c r="D971" s="123"/>
      <c r="E971" s="124"/>
      <c r="F971" s="122"/>
      <c r="G971" s="125"/>
      <c r="H971" s="122"/>
      <c r="I971" s="126"/>
      <c r="J971" s="152"/>
      <c r="K971" s="122"/>
      <c r="L971" s="45"/>
      <c r="M971" s="153"/>
      <c r="N971" s="128"/>
      <c r="O971" s="129"/>
      <c r="P971" s="121"/>
      <c r="Q971" s="154"/>
    </row>
    <row r="972">
      <c r="A972" s="147"/>
      <c r="B972" s="131"/>
      <c r="C972" s="132"/>
      <c r="D972" s="119"/>
      <c r="E972" s="133"/>
      <c r="F972" s="132"/>
      <c r="G972" s="134"/>
      <c r="H972" s="132"/>
      <c r="I972" s="135"/>
      <c r="J972" s="148"/>
      <c r="K972" s="132"/>
      <c r="L972" s="16"/>
      <c r="M972" s="149"/>
      <c r="N972" s="137"/>
      <c r="O972" s="118"/>
      <c r="P972" s="131"/>
      <c r="Q972" s="150"/>
    </row>
    <row r="973">
      <c r="A973" s="151"/>
      <c r="B973" s="121"/>
      <c r="C973" s="122"/>
      <c r="D973" s="123"/>
      <c r="E973" s="124"/>
      <c r="F973" s="122"/>
      <c r="G973" s="125"/>
      <c r="H973" s="122"/>
      <c r="I973" s="126"/>
      <c r="J973" s="152"/>
      <c r="K973" s="122"/>
      <c r="L973" s="45"/>
      <c r="M973" s="153"/>
      <c r="N973" s="128"/>
      <c r="O973" s="129"/>
      <c r="P973" s="121"/>
      <c r="Q973" s="154"/>
    </row>
    <row r="974">
      <c r="A974" s="147"/>
      <c r="B974" s="131"/>
      <c r="C974" s="132"/>
      <c r="D974" s="119"/>
      <c r="E974" s="133"/>
      <c r="F974" s="132"/>
      <c r="G974" s="134"/>
      <c r="H974" s="132"/>
      <c r="I974" s="135"/>
      <c r="J974" s="148"/>
      <c r="K974" s="132"/>
      <c r="L974" s="16"/>
      <c r="M974" s="149"/>
      <c r="N974" s="137"/>
      <c r="O974" s="118"/>
      <c r="P974" s="131"/>
      <c r="Q974" s="150"/>
    </row>
    <row r="975">
      <c r="A975" s="151"/>
      <c r="B975" s="121"/>
      <c r="C975" s="122"/>
      <c r="D975" s="123"/>
      <c r="E975" s="124"/>
      <c r="F975" s="122"/>
      <c r="G975" s="125"/>
      <c r="H975" s="122"/>
      <c r="I975" s="126"/>
      <c r="J975" s="152"/>
      <c r="K975" s="122"/>
      <c r="L975" s="45"/>
      <c r="M975" s="153"/>
      <c r="N975" s="128"/>
      <c r="O975" s="129"/>
      <c r="P975" s="121"/>
      <c r="Q975" s="154"/>
    </row>
    <row r="976">
      <c r="A976" s="147"/>
      <c r="B976" s="131"/>
      <c r="C976" s="132"/>
      <c r="D976" s="119"/>
      <c r="E976" s="133"/>
      <c r="F976" s="132"/>
      <c r="G976" s="134"/>
      <c r="H976" s="132"/>
      <c r="I976" s="135"/>
      <c r="J976" s="148"/>
      <c r="K976" s="132"/>
      <c r="L976" s="16"/>
      <c r="M976" s="149"/>
      <c r="N976" s="137"/>
      <c r="O976" s="118"/>
      <c r="P976" s="131"/>
      <c r="Q976" s="150"/>
    </row>
    <row r="977">
      <c r="A977" s="151"/>
      <c r="B977" s="121"/>
      <c r="C977" s="122"/>
      <c r="D977" s="123"/>
      <c r="E977" s="124"/>
      <c r="F977" s="122"/>
      <c r="G977" s="125"/>
      <c r="H977" s="122"/>
      <c r="I977" s="126"/>
      <c r="J977" s="152"/>
      <c r="K977" s="122"/>
      <c r="L977" s="45"/>
      <c r="M977" s="153"/>
      <c r="N977" s="128"/>
      <c r="O977" s="129"/>
      <c r="P977" s="121"/>
      <c r="Q977" s="154"/>
    </row>
    <row r="978">
      <c r="A978" s="147"/>
      <c r="B978" s="131"/>
      <c r="C978" s="132"/>
      <c r="D978" s="119"/>
      <c r="E978" s="133"/>
      <c r="F978" s="132"/>
      <c r="G978" s="134"/>
      <c r="H978" s="132"/>
      <c r="I978" s="135"/>
      <c r="J978" s="148"/>
      <c r="K978" s="132"/>
      <c r="L978" s="16"/>
      <c r="M978" s="149"/>
      <c r="N978" s="137"/>
      <c r="O978" s="118"/>
      <c r="P978" s="131"/>
      <c r="Q978" s="150"/>
    </row>
    <row r="979">
      <c r="A979" s="151"/>
      <c r="B979" s="121"/>
      <c r="C979" s="122"/>
      <c r="D979" s="123"/>
      <c r="E979" s="124"/>
      <c r="F979" s="122"/>
      <c r="G979" s="125"/>
      <c r="H979" s="122"/>
      <c r="I979" s="126"/>
      <c r="J979" s="152"/>
      <c r="K979" s="122"/>
      <c r="L979" s="45"/>
      <c r="M979" s="153"/>
      <c r="N979" s="128"/>
      <c r="O979" s="129"/>
      <c r="P979" s="121"/>
      <c r="Q979" s="154"/>
    </row>
    <row r="980">
      <c r="A980" s="147"/>
      <c r="B980" s="131"/>
      <c r="C980" s="132"/>
      <c r="D980" s="119"/>
      <c r="E980" s="133"/>
      <c r="F980" s="132"/>
      <c r="G980" s="134"/>
      <c r="H980" s="132"/>
      <c r="I980" s="135"/>
      <c r="J980" s="148"/>
      <c r="K980" s="132"/>
      <c r="L980" s="16"/>
      <c r="M980" s="149"/>
      <c r="N980" s="137"/>
      <c r="O980" s="118"/>
      <c r="P980" s="131"/>
      <c r="Q980" s="150"/>
    </row>
    <row r="981">
      <c r="A981" s="151"/>
      <c r="B981" s="121"/>
      <c r="C981" s="122"/>
      <c r="D981" s="123"/>
      <c r="E981" s="124"/>
      <c r="F981" s="122"/>
      <c r="G981" s="125"/>
      <c r="H981" s="122"/>
      <c r="I981" s="126"/>
      <c r="J981" s="152"/>
      <c r="K981" s="122"/>
      <c r="L981" s="45"/>
      <c r="M981" s="153"/>
      <c r="N981" s="128"/>
      <c r="O981" s="129"/>
      <c r="P981" s="121"/>
      <c r="Q981" s="154"/>
    </row>
    <row r="982">
      <c r="A982" s="147"/>
      <c r="B982" s="131"/>
      <c r="C982" s="132"/>
      <c r="D982" s="119"/>
      <c r="E982" s="133"/>
      <c r="F982" s="132"/>
      <c r="G982" s="134"/>
      <c r="H982" s="132"/>
      <c r="I982" s="135"/>
      <c r="J982" s="148"/>
      <c r="K982" s="132"/>
      <c r="L982" s="16"/>
      <c r="M982" s="149"/>
      <c r="N982" s="137"/>
      <c r="O982" s="118"/>
      <c r="P982" s="131"/>
      <c r="Q982" s="150"/>
    </row>
    <row r="983">
      <c r="A983" s="151"/>
      <c r="B983" s="121"/>
      <c r="C983" s="122"/>
      <c r="D983" s="123"/>
      <c r="E983" s="124"/>
      <c r="F983" s="122"/>
      <c r="G983" s="125"/>
      <c r="H983" s="122"/>
      <c r="I983" s="126"/>
      <c r="J983" s="152"/>
      <c r="K983" s="122"/>
      <c r="L983" s="45"/>
      <c r="M983" s="153"/>
      <c r="N983" s="128"/>
      <c r="O983" s="129"/>
      <c r="P983" s="121"/>
      <c r="Q983" s="154"/>
    </row>
    <row r="984">
      <c r="A984" s="147"/>
      <c r="B984" s="131"/>
      <c r="C984" s="132"/>
      <c r="D984" s="119"/>
      <c r="E984" s="133"/>
      <c r="F984" s="132"/>
      <c r="G984" s="134"/>
      <c r="H984" s="132"/>
      <c r="I984" s="135"/>
      <c r="J984" s="148"/>
      <c r="K984" s="132"/>
      <c r="L984" s="16"/>
      <c r="M984" s="149"/>
      <c r="N984" s="137"/>
      <c r="O984" s="118"/>
      <c r="P984" s="131"/>
      <c r="Q984" s="150"/>
    </row>
    <row r="985">
      <c r="A985" s="151"/>
      <c r="B985" s="121"/>
      <c r="C985" s="122"/>
      <c r="D985" s="123"/>
      <c r="E985" s="124"/>
      <c r="F985" s="122"/>
      <c r="G985" s="125"/>
      <c r="H985" s="122"/>
      <c r="I985" s="126"/>
      <c r="J985" s="152"/>
      <c r="K985" s="122"/>
      <c r="L985" s="45"/>
      <c r="M985" s="153"/>
      <c r="N985" s="128"/>
      <c r="O985" s="129"/>
      <c r="P985" s="121"/>
      <c r="Q985" s="154"/>
    </row>
    <row r="986">
      <c r="A986" s="147"/>
      <c r="B986" s="131"/>
      <c r="C986" s="132"/>
      <c r="D986" s="119"/>
      <c r="E986" s="133"/>
      <c r="F986" s="132"/>
      <c r="G986" s="134"/>
      <c r="H986" s="132"/>
      <c r="I986" s="135"/>
      <c r="J986" s="148"/>
      <c r="K986" s="132"/>
      <c r="L986" s="16"/>
      <c r="M986" s="149"/>
      <c r="N986" s="137"/>
      <c r="O986" s="118"/>
      <c r="P986" s="131"/>
      <c r="Q986" s="150"/>
    </row>
    <row r="987">
      <c r="A987" s="151"/>
      <c r="B987" s="121"/>
      <c r="C987" s="122"/>
      <c r="D987" s="123"/>
      <c r="E987" s="124"/>
      <c r="F987" s="122"/>
      <c r="G987" s="125"/>
      <c r="H987" s="122"/>
      <c r="I987" s="126"/>
      <c r="J987" s="152"/>
      <c r="K987" s="122"/>
      <c r="L987" s="45"/>
      <c r="M987" s="153"/>
      <c r="N987" s="128"/>
      <c r="O987" s="129"/>
      <c r="P987" s="121"/>
      <c r="Q987" s="154"/>
    </row>
    <row r="988">
      <c r="A988" s="147"/>
      <c r="B988" s="131"/>
      <c r="C988" s="132"/>
      <c r="D988" s="119"/>
      <c r="E988" s="133"/>
      <c r="F988" s="132"/>
      <c r="G988" s="134"/>
      <c r="H988" s="132"/>
      <c r="I988" s="135"/>
      <c r="J988" s="148"/>
      <c r="K988" s="132"/>
      <c r="L988" s="16"/>
      <c r="M988" s="149"/>
      <c r="N988" s="137"/>
      <c r="O988" s="118"/>
      <c r="P988" s="131"/>
      <c r="Q988" s="150"/>
    </row>
    <row r="989">
      <c r="A989" s="151"/>
      <c r="B989" s="121"/>
      <c r="C989" s="122"/>
      <c r="D989" s="123"/>
      <c r="E989" s="124"/>
      <c r="F989" s="122"/>
      <c r="G989" s="125"/>
      <c r="H989" s="122"/>
      <c r="I989" s="126"/>
      <c r="J989" s="152"/>
      <c r="K989" s="122"/>
      <c r="L989" s="45"/>
      <c r="M989" s="153"/>
      <c r="N989" s="128"/>
      <c r="O989" s="129"/>
      <c r="P989" s="121"/>
      <c r="Q989" s="154"/>
    </row>
    <row r="990">
      <c r="A990" s="147"/>
      <c r="B990" s="131"/>
      <c r="C990" s="132"/>
      <c r="D990" s="119"/>
      <c r="E990" s="133"/>
      <c r="F990" s="132"/>
      <c r="G990" s="134"/>
      <c r="H990" s="132"/>
      <c r="I990" s="135"/>
      <c r="J990" s="148"/>
      <c r="K990" s="132"/>
      <c r="L990" s="16"/>
      <c r="M990" s="149"/>
      <c r="N990" s="137"/>
      <c r="O990" s="118"/>
      <c r="P990" s="131"/>
      <c r="Q990" s="150"/>
    </row>
    <row r="991">
      <c r="A991" s="151"/>
      <c r="B991" s="121"/>
      <c r="C991" s="122"/>
      <c r="D991" s="123"/>
      <c r="E991" s="124"/>
      <c r="F991" s="122"/>
      <c r="G991" s="125"/>
      <c r="H991" s="122"/>
      <c r="I991" s="126"/>
      <c r="J991" s="152"/>
      <c r="K991" s="122"/>
      <c r="L991" s="45"/>
      <c r="M991" s="153"/>
      <c r="N991" s="128"/>
      <c r="O991" s="129"/>
      <c r="P991" s="121"/>
      <c r="Q991" s="154"/>
    </row>
    <row r="992">
      <c r="A992" s="147"/>
      <c r="B992" s="131"/>
      <c r="C992" s="132"/>
      <c r="D992" s="119"/>
      <c r="E992" s="133"/>
      <c r="F992" s="132"/>
      <c r="G992" s="134"/>
      <c r="H992" s="132"/>
      <c r="I992" s="135"/>
      <c r="J992" s="148"/>
      <c r="K992" s="132"/>
      <c r="L992" s="16"/>
      <c r="M992" s="149"/>
      <c r="N992" s="137"/>
      <c r="O992" s="118"/>
      <c r="P992" s="131"/>
      <c r="Q992" s="150"/>
    </row>
    <row r="993">
      <c r="A993" s="151"/>
      <c r="B993" s="121"/>
      <c r="C993" s="122"/>
      <c r="D993" s="123"/>
      <c r="E993" s="124"/>
      <c r="F993" s="122"/>
      <c r="G993" s="125"/>
      <c r="H993" s="122"/>
      <c r="I993" s="126"/>
      <c r="J993" s="152"/>
      <c r="K993" s="122"/>
      <c r="L993" s="45"/>
      <c r="M993" s="153"/>
      <c r="N993" s="128"/>
      <c r="O993" s="129"/>
      <c r="P993" s="121"/>
      <c r="Q993" s="154"/>
    </row>
    <row r="994">
      <c r="A994" s="147"/>
      <c r="B994" s="131"/>
      <c r="C994" s="132"/>
      <c r="D994" s="119"/>
      <c r="E994" s="133"/>
      <c r="F994" s="132"/>
      <c r="G994" s="134"/>
      <c r="H994" s="132"/>
      <c r="I994" s="135"/>
      <c r="J994" s="148"/>
      <c r="K994" s="132"/>
      <c r="L994" s="16"/>
      <c r="M994" s="149"/>
      <c r="N994" s="137"/>
      <c r="O994" s="118"/>
      <c r="P994" s="131"/>
      <c r="Q994" s="150"/>
    </row>
    <row r="995">
      <c r="A995" s="151"/>
      <c r="B995" s="121"/>
      <c r="C995" s="122"/>
      <c r="D995" s="123"/>
      <c r="E995" s="124"/>
      <c r="F995" s="122"/>
      <c r="G995" s="125"/>
      <c r="H995" s="122"/>
      <c r="I995" s="126"/>
      <c r="J995" s="152"/>
      <c r="K995" s="122"/>
      <c r="L995" s="45"/>
      <c r="M995" s="153"/>
      <c r="N995" s="128"/>
      <c r="O995" s="129"/>
      <c r="P995" s="121"/>
      <c r="Q995" s="154"/>
    </row>
    <row r="996">
      <c r="A996" s="147"/>
      <c r="B996" s="131"/>
      <c r="C996" s="132"/>
      <c r="D996" s="119"/>
      <c r="E996" s="133"/>
      <c r="F996" s="132"/>
      <c r="G996" s="134"/>
      <c r="H996" s="132"/>
      <c r="I996" s="135"/>
      <c r="J996" s="148"/>
      <c r="K996" s="132"/>
      <c r="L996" s="16"/>
      <c r="M996" s="149"/>
      <c r="N996" s="137"/>
      <c r="O996" s="118"/>
      <c r="P996" s="131"/>
      <c r="Q996" s="150"/>
    </row>
    <row r="997">
      <c r="A997" s="151"/>
      <c r="B997" s="121"/>
      <c r="C997" s="122"/>
      <c r="D997" s="123"/>
      <c r="E997" s="124"/>
      <c r="F997" s="122"/>
      <c r="G997" s="125"/>
      <c r="H997" s="122"/>
      <c r="I997" s="126"/>
      <c r="J997" s="152"/>
      <c r="K997" s="122"/>
      <c r="L997" s="45"/>
      <c r="M997" s="153"/>
      <c r="N997" s="128"/>
      <c r="O997" s="129"/>
      <c r="P997" s="121"/>
      <c r="Q997" s="154"/>
    </row>
    <row r="998">
      <c r="A998" s="147"/>
      <c r="B998" s="131"/>
      <c r="C998" s="132"/>
      <c r="D998" s="119"/>
      <c r="E998" s="133"/>
      <c r="F998" s="132"/>
      <c r="G998" s="134"/>
      <c r="H998" s="132"/>
      <c r="I998" s="135"/>
      <c r="J998" s="148"/>
      <c r="K998" s="132"/>
      <c r="L998" s="16"/>
      <c r="M998" s="149"/>
      <c r="N998" s="137"/>
      <c r="O998" s="118"/>
      <c r="P998" s="131"/>
      <c r="Q998" s="150"/>
    </row>
    <row r="999">
      <c r="A999" s="151"/>
      <c r="B999" s="121"/>
      <c r="C999" s="122"/>
      <c r="D999" s="123"/>
      <c r="E999" s="124"/>
      <c r="F999" s="122"/>
      <c r="G999" s="125"/>
      <c r="H999" s="122"/>
      <c r="I999" s="126"/>
      <c r="J999" s="152"/>
      <c r="K999" s="122"/>
      <c r="L999" s="45"/>
      <c r="M999" s="153"/>
      <c r="N999" s="128"/>
      <c r="O999" s="129"/>
      <c r="P999" s="121"/>
      <c r="Q999" s="154"/>
    </row>
    <row r="1000">
      <c r="A1000" s="147"/>
      <c r="B1000" s="131"/>
      <c r="C1000" s="132"/>
      <c r="D1000" s="119"/>
      <c r="E1000" s="133"/>
      <c r="F1000" s="132"/>
      <c r="G1000" s="134"/>
      <c r="H1000" s="132"/>
      <c r="I1000" s="135"/>
      <c r="J1000" s="148"/>
      <c r="K1000" s="132"/>
      <c r="L1000" s="16"/>
      <c r="M1000" s="149"/>
      <c r="N1000" s="137"/>
      <c r="O1000" s="118"/>
      <c r="P1000" s="131"/>
      <c r="Q1000" s="150"/>
    </row>
    <row r="1001">
      <c r="A1001" s="151"/>
      <c r="B1001" s="121"/>
      <c r="C1001" s="122"/>
      <c r="D1001" s="123"/>
      <c r="E1001" s="124"/>
      <c r="F1001" s="122"/>
      <c r="G1001" s="125"/>
      <c r="H1001" s="122"/>
      <c r="I1001" s="126"/>
      <c r="J1001" s="152"/>
      <c r="K1001" s="122"/>
      <c r="L1001" s="45"/>
      <c r="M1001" s="153"/>
      <c r="N1001" s="128"/>
      <c r="O1001" s="129"/>
      <c r="P1001" s="121"/>
      <c r="Q1001" s="154"/>
    </row>
    <row r="1002">
      <c r="A1002" s="147"/>
      <c r="B1002" s="131"/>
      <c r="C1002" s="132"/>
      <c r="D1002" s="119"/>
      <c r="E1002" s="133"/>
      <c r="F1002" s="132"/>
      <c r="G1002" s="134"/>
      <c r="H1002" s="132"/>
      <c r="I1002" s="135"/>
      <c r="J1002" s="148"/>
      <c r="K1002" s="132"/>
      <c r="L1002" s="16"/>
      <c r="M1002" s="149"/>
      <c r="N1002" s="137"/>
      <c r="O1002" s="118"/>
      <c r="P1002" s="131"/>
      <c r="Q1002" s="150"/>
    </row>
    <row r="1003">
      <c r="A1003" s="151"/>
      <c r="B1003" s="121"/>
      <c r="C1003" s="122"/>
      <c r="D1003" s="123"/>
      <c r="E1003" s="124"/>
      <c r="F1003" s="122"/>
      <c r="G1003" s="125"/>
      <c r="H1003" s="122"/>
      <c r="I1003" s="126"/>
      <c r="J1003" s="152"/>
      <c r="K1003" s="122"/>
      <c r="L1003" s="45"/>
      <c r="M1003" s="153"/>
      <c r="N1003" s="128"/>
      <c r="O1003" s="129"/>
      <c r="P1003" s="121"/>
      <c r="Q1003" s="154"/>
    </row>
    <row r="1004">
      <c r="A1004" s="147"/>
      <c r="B1004" s="131"/>
      <c r="C1004" s="132"/>
      <c r="D1004" s="119"/>
      <c r="E1004" s="133"/>
      <c r="F1004" s="132"/>
      <c r="G1004" s="134"/>
      <c r="H1004" s="132"/>
      <c r="I1004" s="135"/>
      <c r="J1004" s="148"/>
      <c r="K1004" s="132"/>
      <c r="L1004" s="16"/>
      <c r="M1004" s="149"/>
      <c r="N1004" s="137"/>
      <c r="O1004" s="118"/>
      <c r="P1004" s="131"/>
      <c r="Q1004" s="150"/>
    </row>
    <row r="1005">
      <c r="A1005" s="151"/>
      <c r="B1005" s="121"/>
      <c r="C1005" s="122"/>
      <c r="D1005" s="123"/>
      <c r="E1005" s="124"/>
      <c r="F1005" s="122"/>
      <c r="G1005" s="125"/>
      <c r="H1005" s="122"/>
      <c r="I1005" s="126"/>
      <c r="J1005" s="152"/>
      <c r="K1005" s="122"/>
      <c r="L1005" s="45"/>
      <c r="M1005" s="153"/>
      <c r="N1005" s="128"/>
      <c r="O1005" s="129"/>
      <c r="P1005" s="121"/>
      <c r="Q1005" s="154"/>
    </row>
    <row r="1006">
      <c r="A1006" s="147"/>
      <c r="B1006" s="131"/>
      <c r="C1006" s="132"/>
      <c r="D1006" s="119"/>
      <c r="E1006" s="133"/>
      <c r="F1006" s="132"/>
      <c r="G1006" s="134"/>
      <c r="H1006" s="132"/>
      <c r="I1006" s="135"/>
      <c r="J1006" s="148"/>
      <c r="K1006" s="132"/>
      <c r="L1006" s="16"/>
      <c r="M1006" s="149"/>
      <c r="N1006" s="137"/>
      <c r="O1006" s="118"/>
      <c r="P1006" s="131"/>
      <c r="Q1006" s="150"/>
    </row>
    <row r="1007">
      <c r="A1007" s="151"/>
      <c r="B1007" s="121"/>
      <c r="C1007" s="122"/>
      <c r="D1007" s="123"/>
      <c r="E1007" s="124"/>
      <c r="F1007" s="122"/>
      <c r="G1007" s="125"/>
      <c r="H1007" s="122"/>
      <c r="I1007" s="126"/>
      <c r="J1007" s="152"/>
      <c r="K1007" s="122"/>
      <c r="L1007" s="45"/>
      <c r="M1007" s="153"/>
      <c r="N1007" s="128"/>
      <c r="O1007" s="129"/>
      <c r="P1007" s="121"/>
      <c r="Q1007" s="154"/>
    </row>
    <row r="1008">
      <c r="A1008" s="147"/>
      <c r="B1008" s="131"/>
      <c r="C1008" s="132"/>
      <c r="D1008" s="119"/>
      <c r="E1008" s="133"/>
      <c r="F1008" s="132"/>
      <c r="G1008" s="134"/>
      <c r="H1008" s="132"/>
      <c r="I1008" s="135"/>
      <c r="J1008" s="148"/>
      <c r="K1008" s="132"/>
      <c r="L1008" s="16"/>
      <c r="M1008" s="149"/>
      <c r="N1008" s="137"/>
      <c r="O1008" s="118"/>
      <c r="P1008" s="131"/>
      <c r="Q1008" s="150"/>
    </row>
    <row r="1009">
      <c r="A1009" s="151"/>
      <c r="B1009" s="121"/>
      <c r="C1009" s="122"/>
      <c r="D1009" s="123"/>
      <c r="E1009" s="124"/>
      <c r="F1009" s="122"/>
      <c r="G1009" s="125"/>
      <c r="H1009" s="122"/>
      <c r="I1009" s="126"/>
      <c r="J1009" s="152"/>
      <c r="K1009" s="122"/>
      <c r="L1009" s="45"/>
      <c r="M1009" s="153"/>
      <c r="N1009" s="128"/>
      <c r="O1009" s="129"/>
      <c r="P1009" s="121"/>
      <c r="Q1009" s="154"/>
    </row>
    <row r="1010">
      <c r="A1010" s="147"/>
      <c r="B1010" s="131"/>
      <c r="C1010" s="132"/>
      <c r="D1010" s="119"/>
      <c r="E1010" s="133"/>
      <c r="F1010" s="132"/>
      <c r="G1010" s="134"/>
      <c r="H1010" s="132"/>
      <c r="I1010" s="135"/>
      <c r="J1010" s="148"/>
      <c r="K1010" s="132"/>
      <c r="L1010" s="16"/>
      <c r="M1010" s="149"/>
      <c r="N1010" s="137"/>
      <c r="O1010" s="118"/>
      <c r="P1010" s="131"/>
      <c r="Q1010" s="150"/>
    </row>
    <row r="1011">
      <c r="A1011" s="151"/>
      <c r="B1011" s="121"/>
      <c r="C1011" s="122"/>
      <c r="D1011" s="123"/>
      <c r="E1011" s="124"/>
      <c r="F1011" s="122"/>
      <c r="G1011" s="125"/>
      <c r="H1011" s="122"/>
      <c r="I1011" s="126"/>
      <c r="J1011" s="152"/>
      <c r="K1011" s="122"/>
      <c r="L1011" s="45"/>
      <c r="M1011" s="153"/>
      <c r="N1011" s="128"/>
      <c r="O1011" s="129"/>
      <c r="P1011" s="121"/>
      <c r="Q1011" s="154"/>
    </row>
    <row r="1012">
      <c r="A1012" s="147"/>
      <c r="B1012" s="131"/>
      <c r="C1012" s="132"/>
      <c r="D1012" s="119"/>
      <c r="E1012" s="133"/>
      <c r="F1012" s="132"/>
      <c r="G1012" s="134"/>
      <c r="H1012" s="132"/>
      <c r="I1012" s="135"/>
      <c r="J1012" s="148"/>
      <c r="K1012" s="132"/>
      <c r="L1012" s="16"/>
      <c r="M1012" s="149"/>
      <c r="N1012" s="137"/>
      <c r="O1012" s="118"/>
      <c r="P1012" s="131"/>
      <c r="Q1012" s="150"/>
    </row>
    <row r="1013">
      <c r="A1013" s="151"/>
      <c r="B1013" s="121"/>
      <c r="C1013" s="122"/>
      <c r="D1013" s="123"/>
      <c r="E1013" s="124"/>
      <c r="F1013" s="122"/>
      <c r="G1013" s="125"/>
      <c r="H1013" s="122"/>
      <c r="I1013" s="126"/>
      <c r="J1013" s="152"/>
      <c r="K1013" s="122"/>
      <c r="L1013" s="45"/>
      <c r="M1013" s="153"/>
      <c r="N1013" s="128"/>
      <c r="O1013" s="129"/>
      <c r="P1013" s="121"/>
      <c r="Q1013" s="154"/>
    </row>
    <row r="1014">
      <c r="A1014" s="147"/>
      <c r="B1014" s="131"/>
      <c r="C1014" s="132"/>
      <c r="D1014" s="119"/>
      <c r="E1014" s="133"/>
      <c r="F1014" s="132"/>
      <c r="G1014" s="134"/>
      <c r="H1014" s="132"/>
      <c r="I1014" s="135"/>
      <c r="J1014" s="148"/>
      <c r="K1014" s="132"/>
      <c r="L1014" s="16"/>
      <c r="M1014" s="149"/>
      <c r="N1014" s="137"/>
      <c r="O1014" s="118"/>
      <c r="P1014" s="131"/>
      <c r="Q1014" s="150"/>
    </row>
    <row r="1015">
      <c r="A1015" s="151"/>
      <c r="B1015" s="121"/>
      <c r="C1015" s="122"/>
      <c r="D1015" s="123"/>
      <c r="E1015" s="124"/>
      <c r="F1015" s="122"/>
      <c r="G1015" s="125"/>
      <c r="H1015" s="122"/>
      <c r="I1015" s="126"/>
      <c r="J1015" s="152"/>
      <c r="K1015" s="122"/>
      <c r="L1015" s="45"/>
      <c r="M1015" s="153"/>
      <c r="N1015" s="128"/>
      <c r="O1015" s="129"/>
      <c r="P1015" s="121"/>
      <c r="Q1015" s="154"/>
    </row>
    <row r="1016">
      <c r="A1016" s="147"/>
      <c r="B1016" s="131"/>
      <c r="C1016" s="132"/>
      <c r="D1016" s="119"/>
      <c r="E1016" s="133"/>
      <c r="F1016" s="132"/>
      <c r="G1016" s="134"/>
      <c r="H1016" s="132"/>
      <c r="I1016" s="135"/>
      <c r="J1016" s="148"/>
      <c r="K1016" s="132"/>
      <c r="L1016" s="16"/>
      <c r="M1016" s="149"/>
      <c r="N1016" s="137"/>
      <c r="O1016" s="118"/>
      <c r="P1016" s="131"/>
      <c r="Q1016" s="150"/>
    </row>
    <row r="1017">
      <c r="A1017" s="151"/>
      <c r="B1017" s="121"/>
      <c r="C1017" s="122"/>
      <c r="D1017" s="123"/>
      <c r="E1017" s="124"/>
      <c r="F1017" s="122"/>
      <c r="G1017" s="125"/>
      <c r="H1017" s="122"/>
      <c r="I1017" s="126"/>
      <c r="J1017" s="152"/>
      <c r="K1017" s="122"/>
      <c r="L1017" s="45"/>
      <c r="M1017" s="153"/>
      <c r="N1017" s="128"/>
      <c r="O1017" s="129"/>
      <c r="P1017" s="121"/>
      <c r="Q1017" s="154"/>
    </row>
    <row r="1018">
      <c r="A1018" s="147"/>
      <c r="B1018" s="131"/>
      <c r="C1018" s="132"/>
      <c r="D1018" s="119"/>
      <c r="E1018" s="133"/>
      <c r="F1018" s="132"/>
      <c r="G1018" s="134"/>
      <c r="H1018" s="132"/>
      <c r="I1018" s="135"/>
      <c r="J1018" s="148"/>
      <c r="K1018" s="132"/>
      <c r="L1018" s="16"/>
      <c r="M1018" s="149"/>
      <c r="N1018" s="137"/>
      <c r="O1018" s="118"/>
      <c r="P1018" s="131"/>
      <c r="Q1018" s="150"/>
    </row>
    <row r="1019">
      <c r="A1019" s="151"/>
      <c r="B1019" s="121"/>
      <c r="C1019" s="122"/>
      <c r="D1019" s="123"/>
      <c r="E1019" s="124"/>
      <c r="F1019" s="122"/>
      <c r="G1019" s="125"/>
      <c r="H1019" s="122"/>
      <c r="I1019" s="126"/>
      <c r="J1019" s="152"/>
      <c r="K1019" s="122"/>
      <c r="L1019" s="45"/>
      <c r="M1019" s="153"/>
      <c r="N1019" s="128"/>
      <c r="O1019" s="129"/>
      <c r="P1019" s="121"/>
      <c r="Q1019" s="154"/>
    </row>
    <row r="1020">
      <c r="A1020" s="147"/>
      <c r="B1020" s="131"/>
      <c r="C1020" s="132"/>
      <c r="D1020" s="119"/>
      <c r="E1020" s="133"/>
      <c r="F1020" s="132"/>
      <c r="G1020" s="134"/>
      <c r="H1020" s="132"/>
      <c r="I1020" s="135"/>
      <c r="J1020" s="148"/>
      <c r="K1020" s="132"/>
      <c r="L1020" s="16"/>
      <c r="M1020" s="149"/>
      <c r="N1020" s="137"/>
      <c r="O1020" s="118"/>
      <c r="P1020" s="131"/>
      <c r="Q1020" s="150"/>
    </row>
    <row r="1021">
      <c r="A1021" s="151"/>
      <c r="B1021" s="121"/>
      <c r="C1021" s="122"/>
      <c r="D1021" s="123"/>
      <c r="E1021" s="124"/>
      <c r="F1021" s="122"/>
      <c r="G1021" s="125"/>
      <c r="H1021" s="122"/>
      <c r="I1021" s="126"/>
      <c r="J1021" s="152"/>
      <c r="K1021" s="122"/>
      <c r="L1021" s="45"/>
      <c r="M1021" s="153"/>
      <c r="N1021" s="128"/>
      <c r="O1021" s="129"/>
      <c r="P1021" s="121"/>
      <c r="Q1021" s="154"/>
    </row>
    <row r="1022">
      <c r="A1022" s="147"/>
      <c r="B1022" s="131"/>
      <c r="C1022" s="132"/>
      <c r="D1022" s="119"/>
      <c r="E1022" s="133"/>
      <c r="F1022" s="132"/>
      <c r="G1022" s="134"/>
      <c r="H1022" s="132"/>
      <c r="I1022" s="135"/>
      <c r="J1022" s="148"/>
      <c r="K1022" s="132"/>
      <c r="L1022" s="16"/>
      <c r="M1022" s="149"/>
      <c r="N1022" s="137"/>
      <c r="O1022" s="118"/>
      <c r="P1022" s="131"/>
      <c r="Q1022" s="150"/>
    </row>
    <row r="1023">
      <c r="A1023" s="151"/>
      <c r="B1023" s="121"/>
      <c r="C1023" s="122"/>
      <c r="D1023" s="123"/>
      <c r="E1023" s="124"/>
      <c r="F1023" s="122"/>
      <c r="G1023" s="125"/>
      <c r="H1023" s="122"/>
      <c r="I1023" s="126"/>
      <c r="J1023" s="152"/>
      <c r="K1023" s="122"/>
      <c r="L1023" s="45"/>
      <c r="M1023" s="153"/>
      <c r="N1023" s="128"/>
      <c r="O1023" s="129"/>
      <c r="P1023" s="121"/>
      <c r="Q1023" s="154"/>
    </row>
    <row r="1024">
      <c r="A1024" s="147"/>
      <c r="B1024" s="131"/>
      <c r="C1024" s="132"/>
      <c r="D1024" s="119"/>
      <c r="E1024" s="133"/>
      <c r="F1024" s="132"/>
      <c r="G1024" s="134"/>
      <c r="H1024" s="132"/>
      <c r="I1024" s="135"/>
      <c r="J1024" s="148"/>
      <c r="K1024" s="132"/>
      <c r="L1024" s="16"/>
      <c r="M1024" s="149"/>
      <c r="N1024" s="137"/>
      <c r="O1024" s="118"/>
      <c r="P1024" s="131"/>
      <c r="Q1024" s="150"/>
    </row>
    <row r="1025">
      <c r="A1025" s="151"/>
      <c r="B1025" s="121"/>
      <c r="C1025" s="122"/>
      <c r="D1025" s="123"/>
      <c r="E1025" s="124"/>
      <c r="F1025" s="122"/>
      <c r="G1025" s="125"/>
      <c r="H1025" s="122"/>
      <c r="I1025" s="126"/>
      <c r="J1025" s="152"/>
      <c r="K1025" s="122"/>
      <c r="L1025" s="45"/>
      <c r="M1025" s="153"/>
      <c r="N1025" s="128"/>
      <c r="O1025" s="129"/>
      <c r="P1025" s="121"/>
      <c r="Q1025" s="154"/>
    </row>
    <row r="1026">
      <c r="A1026" s="147"/>
      <c r="B1026" s="131"/>
      <c r="C1026" s="132"/>
      <c r="D1026" s="119"/>
      <c r="E1026" s="133"/>
      <c r="F1026" s="132"/>
      <c r="G1026" s="134"/>
      <c r="H1026" s="132"/>
      <c r="I1026" s="135"/>
      <c r="J1026" s="148"/>
      <c r="K1026" s="132"/>
      <c r="L1026" s="16"/>
      <c r="M1026" s="149"/>
      <c r="N1026" s="137"/>
      <c r="O1026" s="118"/>
      <c r="P1026" s="131"/>
      <c r="Q1026" s="150"/>
    </row>
    <row r="1027">
      <c r="A1027" s="151"/>
      <c r="B1027" s="121"/>
      <c r="C1027" s="122"/>
      <c r="D1027" s="123"/>
      <c r="E1027" s="124"/>
      <c r="F1027" s="122"/>
      <c r="G1027" s="125"/>
      <c r="H1027" s="122"/>
      <c r="I1027" s="126"/>
      <c r="J1027" s="152"/>
      <c r="K1027" s="122"/>
      <c r="L1027" s="45"/>
      <c r="M1027" s="153"/>
      <c r="N1027" s="128"/>
      <c r="O1027" s="129"/>
      <c r="P1027" s="121"/>
      <c r="Q1027" s="154"/>
    </row>
    <row r="1028">
      <c r="A1028" s="147"/>
      <c r="B1028" s="131"/>
      <c r="C1028" s="132"/>
      <c r="D1028" s="119"/>
      <c r="E1028" s="133"/>
      <c r="F1028" s="132"/>
      <c r="G1028" s="134"/>
      <c r="H1028" s="132"/>
      <c r="I1028" s="135"/>
      <c r="J1028" s="148"/>
      <c r="K1028" s="132"/>
      <c r="L1028" s="16"/>
      <c r="M1028" s="149"/>
      <c r="N1028" s="137"/>
      <c r="O1028" s="118"/>
      <c r="P1028" s="131"/>
      <c r="Q1028" s="150"/>
    </row>
    <row r="1029">
      <c r="A1029" s="151"/>
      <c r="B1029" s="121"/>
      <c r="C1029" s="122"/>
      <c r="D1029" s="123"/>
      <c r="E1029" s="124"/>
      <c r="F1029" s="122"/>
      <c r="G1029" s="125"/>
      <c r="H1029" s="122"/>
      <c r="I1029" s="126"/>
      <c r="J1029" s="152"/>
      <c r="K1029" s="122"/>
      <c r="L1029" s="45"/>
      <c r="M1029" s="153"/>
      <c r="N1029" s="128"/>
      <c r="O1029" s="129"/>
      <c r="P1029" s="121"/>
      <c r="Q1029" s="154"/>
    </row>
    <row r="1030">
      <c r="A1030" s="147"/>
      <c r="B1030" s="131"/>
      <c r="C1030" s="132"/>
      <c r="D1030" s="119"/>
      <c r="E1030" s="133"/>
      <c r="F1030" s="132"/>
      <c r="G1030" s="134"/>
      <c r="H1030" s="132"/>
      <c r="I1030" s="135"/>
      <c r="J1030" s="148"/>
      <c r="K1030" s="132"/>
      <c r="L1030" s="16"/>
      <c r="M1030" s="149"/>
      <c r="N1030" s="137"/>
      <c r="O1030" s="118"/>
      <c r="P1030" s="131"/>
      <c r="Q1030" s="150"/>
    </row>
    <row r="1031">
      <c r="A1031" s="151"/>
      <c r="B1031" s="121"/>
      <c r="C1031" s="122"/>
      <c r="D1031" s="123"/>
      <c r="E1031" s="124"/>
      <c r="F1031" s="122"/>
      <c r="G1031" s="125"/>
      <c r="H1031" s="122"/>
      <c r="I1031" s="126"/>
      <c r="J1031" s="152"/>
      <c r="K1031" s="122"/>
      <c r="L1031" s="45"/>
      <c r="M1031" s="153"/>
      <c r="N1031" s="128"/>
      <c r="O1031" s="129"/>
      <c r="P1031" s="121"/>
      <c r="Q1031" s="154"/>
    </row>
    <row r="1032">
      <c r="A1032" s="155"/>
      <c r="B1032" s="156"/>
      <c r="C1032" s="157"/>
      <c r="D1032" s="158"/>
      <c r="E1032" s="159"/>
      <c r="F1032" s="157"/>
      <c r="G1032" s="160"/>
      <c r="H1032" s="157"/>
      <c r="I1032" s="161"/>
      <c r="J1032" s="162"/>
      <c r="K1032" s="157"/>
      <c r="L1032" s="163"/>
      <c r="M1032" s="164"/>
      <c r="N1032" s="165"/>
      <c r="O1032" s="166"/>
      <c r="P1032" s="156"/>
      <c r="Q1032" s="167"/>
    </row>
  </sheetData>
  <mergeCells count="6">
    <mergeCell ref="B1:C1"/>
    <mergeCell ref="D1:F1"/>
    <mergeCell ref="G1:H1"/>
    <mergeCell ref="J1:K1"/>
    <mergeCell ref="N1:O1"/>
    <mergeCell ref="P1:Q1"/>
  </mergeCells>
  <hyperlinks>
    <hyperlink r:id="rId1" ref="L2"/>
    <hyperlink r:id="rId2" ref="M2"/>
    <hyperlink r:id="rId3" ref="L3"/>
    <hyperlink r:id="rId4" ref="L4"/>
    <hyperlink r:id="rId5" ref="L5"/>
    <hyperlink r:id="rId6" ref="M5"/>
    <hyperlink r:id="rId7" ref="L6"/>
    <hyperlink r:id="rId8" ref="M6"/>
    <hyperlink r:id="rId9" ref="L7"/>
    <hyperlink r:id="rId10" ref="M7"/>
    <hyperlink r:id="rId11" ref="L8"/>
    <hyperlink r:id="rId12" ref="M8"/>
    <hyperlink r:id="rId13" ref="L9"/>
    <hyperlink r:id="rId14" ref="M9"/>
    <hyperlink r:id="rId15" ref="L10"/>
    <hyperlink r:id="rId16" ref="M10"/>
    <hyperlink r:id="rId17" ref="L11"/>
    <hyperlink r:id="rId18" ref="M11"/>
    <hyperlink r:id="rId19" ref="L12"/>
    <hyperlink r:id="rId20" ref="M12"/>
    <hyperlink r:id="rId21" ref="L13"/>
    <hyperlink r:id="rId22" ref="M13"/>
    <hyperlink r:id="rId23" ref="L14"/>
    <hyperlink r:id="rId24" ref="L15"/>
    <hyperlink r:id="rId25" ref="M15"/>
    <hyperlink r:id="rId26" ref="L16"/>
    <hyperlink r:id="rId27" ref="M16"/>
    <hyperlink r:id="rId28" ref="L17"/>
    <hyperlink r:id="rId29" ref="M17"/>
    <hyperlink r:id="rId30" ref="L18"/>
    <hyperlink r:id="rId31" ref="M18"/>
    <hyperlink r:id="rId32" ref="L19"/>
    <hyperlink r:id="rId33" ref="M19"/>
    <hyperlink r:id="rId34" ref="L20"/>
    <hyperlink r:id="rId35" ref="M20"/>
    <hyperlink r:id="rId36" ref="L21"/>
    <hyperlink r:id="rId37" ref="M21"/>
    <hyperlink r:id="rId38" ref="L22"/>
    <hyperlink r:id="rId39" ref="M22"/>
    <hyperlink r:id="rId40" ref="L23"/>
    <hyperlink r:id="rId41" ref="L24"/>
    <hyperlink r:id="rId42" ref="M24"/>
    <hyperlink r:id="rId43" ref="L25"/>
    <hyperlink r:id="rId44" ref="M25"/>
    <hyperlink r:id="rId45" ref="L26"/>
    <hyperlink r:id="rId46" ref="M26"/>
    <hyperlink r:id="rId47" ref="L27"/>
    <hyperlink r:id="rId48" ref="M27"/>
    <hyperlink r:id="rId49" ref="L28"/>
    <hyperlink r:id="rId50" ref="M28"/>
    <hyperlink r:id="rId51" ref="L29"/>
    <hyperlink r:id="rId52" ref="M29"/>
    <hyperlink r:id="rId53" ref="L30"/>
    <hyperlink r:id="rId54" ref="M30"/>
    <hyperlink r:id="rId55" ref="L31"/>
    <hyperlink r:id="rId56" ref="M31"/>
    <hyperlink r:id="rId57" ref="L32"/>
    <hyperlink r:id="rId58" ref="M32"/>
    <hyperlink r:id="rId59" ref="L33"/>
    <hyperlink r:id="rId60" ref="M33"/>
    <hyperlink r:id="rId61" ref="L34"/>
    <hyperlink r:id="rId62" ref="M34"/>
    <hyperlink r:id="rId63" ref="L35"/>
    <hyperlink r:id="rId64" ref="M35"/>
    <hyperlink r:id="rId65" ref="L36"/>
    <hyperlink r:id="rId66" ref="M36"/>
    <hyperlink r:id="rId67" ref="L37"/>
    <hyperlink r:id="rId68" ref="L38"/>
    <hyperlink r:id="rId69" ref="L39"/>
    <hyperlink r:id="rId70" ref="L40"/>
    <hyperlink r:id="rId71" ref="M40"/>
    <hyperlink r:id="rId72" ref="M41"/>
    <hyperlink r:id="rId73" ref="L42"/>
    <hyperlink r:id="rId74" ref="M42"/>
    <hyperlink r:id="rId75" ref="L43"/>
    <hyperlink r:id="rId76" ref="M43"/>
    <hyperlink r:id="rId77" ref="L44"/>
    <hyperlink r:id="rId78" ref="M44"/>
    <hyperlink r:id="rId79" ref="L45"/>
    <hyperlink r:id="rId80" ref="M45"/>
    <hyperlink r:id="rId81" ref="L46"/>
    <hyperlink r:id="rId82" ref="M46"/>
    <hyperlink r:id="rId83" ref="L47"/>
    <hyperlink r:id="rId84" ref="M47"/>
    <hyperlink r:id="rId85" ref="L48"/>
    <hyperlink r:id="rId86" ref="M48"/>
    <hyperlink r:id="rId87" ref="L49"/>
    <hyperlink r:id="rId88" ref="M49"/>
    <hyperlink r:id="rId89" ref="L50"/>
    <hyperlink r:id="rId90" ref="M50"/>
    <hyperlink r:id="rId91" ref="L51"/>
    <hyperlink r:id="rId92" ref="M51"/>
    <hyperlink r:id="rId93" ref="L52"/>
    <hyperlink r:id="rId94" ref="M52"/>
    <hyperlink r:id="rId95" ref="L53"/>
    <hyperlink r:id="rId96" ref="M53"/>
    <hyperlink r:id="rId97" ref="L54"/>
    <hyperlink r:id="rId98" ref="M54"/>
    <hyperlink r:id="rId99" ref="L55"/>
    <hyperlink r:id="rId100" ref="M55"/>
    <hyperlink r:id="rId101" ref="L56"/>
    <hyperlink r:id="rId102" ref="M56"/>
    <hyperlink r:id="rId103" ref="L57"/>
    <hyperlink r:id="rId104" ref="M57"/>
    <hyperlink r:id="rId105" ref="L59"/>
    <hyperlink r:id="rId106" ref="M59"/>
    <hyperlink r:id="rId107" ref="L60"/>
    <hyperlink r:id="rId108" ref="M60"/>
    <hyperlink r:id="rId109" ref="L61"/>
    <hyperlink r:id="rId110" ref="M61"/>
    <hyperlink r:id="rId111" ref="L62"/>
    <hyperlink r:id="rId112" ref="M62"/>
    <hyperlink r:id="rId113" ref="L63"/>
    <hyperlink r:id="rId114" ref="L64"/>
    <hyperlink r:id="rId115" ref="L65"/>
    <hyperlink r:id="rId116" ref="M65"/>
    <hyperlink r:id="rId117" ref="L66"/>
    <hyperlink r:id="rId118" ref="L67"/>
    <hyperlink r:id="rId119" ref="M67"/>
    <hyperlink r:id="rId120" ref="L68"/>
    <hyperlink r:id="rId121" ref="L69"/>
    <hyperlink r:id="rId122" ref="L70"/>
    <hyperlink r:id="rId123" ref="L71"/>
    <hyperlink r:id="rId124" ref="L72"/>
    <hyperlink r:id="rId125" ref="L73"/>
    <hyperlink r:id="rId126" ref="M73"/>
    <hyperlink r:id="rId127" ref="L74"/>
    <hyperlink r:id="rId128" ref="L75"/>
    <hyperlink r:id="rId129" ref="L76"/>
    <hyperlink r:id="rId130" ref="L77"/>
    <hyperlink r:id="rId131" ref="M77"/>
  </hyperlinks>
  <drawing r:id="rId13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8"/>
    <col customWidth="1" min="2" max="4" width="19.0"/>
    <col customWidth="1" min="5" max="5" width="3.88"/>
    <col customWidth="1" min="6" max="8" width="19.0"/>
    <col customWidth="1" min="9" max="9" width="3.88"/>
  </cols>
  <sheetData>
    <row r="1" ht="180.0" customHeight="1">
      <c r="A1" s="168"/>
      <c r="B1" s="168"/>
      <c r="C1" s="168"/>
      <c r="D1" s="168"/>
      <c r="E1" s="168"/>
      <c r="F1" s="168"/>
      <c r="G1" s="168"/>
      <c r="H1" s="168"/>
      <c r="I1" s="168"/>
    </row>
    <row r="2" ht="375.0" customHeight="1">
      <c r="A2" s="168"/>
    </row>
    <row r="3" ht="100.5" customHeight="1"/>
    <row r="4">
      <c r="A4" s="169" t="str">
        <f>UPPER('Unbalanced PMR Recipe Data'!D2)</f>
        <v>ALL LIFE STAGE SINGLE RECIPE</v>
      </c>
      <c r="B4" s="170"/>
      <c r="C4" s="170"/>
      <c r="D4" s="170"/>
      <c r="E4" s="170"/>
      <c r="F4" s="170"/>
      <c r="G4" s="170"/>
      <c r="H4" s="170"/>
      <c r="I4" s="171"/>
    </row>
    <row r="5">
      <c r="A5" s="172"/>
      <c r="B5" s="173"/>
      <c r="C5" s="173"/>
      <c r="D5" s="173"/>
      <c r="E5" s="173"/>
      <c r="F5" s="173"/>
      <c r="G5" s="173"/>
      <c r="H5" s="173"/>
      <c r="I5" s="174"/>
    </row>
    <row r="6">
      <c r="A6" s="175"/>
      <c r="B6" s="176" t="s">
        <v>110</v>
      </c>
      <c r="C6" s="177"/>
      <c r="D6" s="177"/>
      <c r="E6" s="173"/>
      <c r="F6" s="176" t="s">
        <v>111</v>
      </c>
      <c r="G6" s="177"/>
      <c r="H6" s="177"/>
      <c r="I6" s="174"/>
    </row>
    <row r="7">
      <c r="A7" s="175"/>
      <c r="B7" s="178" t="str">
        <f>UPPER('Unbalanced PMR Recipe Data'!D14)</f>
        <v>VIP MEMBERSHIP RECIPE</v>
      </c>
      <c r="C7" s="179"/>
      <c r="D7" s="179"/>
      <c r="E7" s="173"/>
      <c r="F7" s="180">
        <f>'Unbalanced PMR Recipe Data'!D5</f>
        <v>45444</v>
      </c>
      <c r="G7" s="179"/>
      <c r="H7" s="179"/>
      <c r="I7" s="174"/>
    </row>
    <row r="8">
      <c r="A8" s="175"/>
      <c r="B8" s="181" t="str">
        <f>UPPER('Unbalanced PMR Recipe Data'!D6)</f>
        <v>PET NAME</v>
      </c>
      <c r="C8" s="179"/>
      <c r="D8" s="179"/>
      <c r="E8" s="173"/>
      <c r="F8" s="182" t="s">
        <v>112</v>
      </c>
      <c r="G8" s="179"/>
      <c r="H8" s="179"/>
      <c r="I8" s="174"/>
    </row>
    <row r="9">
      <c r="A9" s="175"/>
      <c r="B9" s="183" t="str">
        <f>proper(CONCATENATE("Life Stage: ",('Unbalanced PMR Recipe Data'!D8)))</f>
        <v>Life Stage: All Life Stage</v>
      </c>
      <c r="C9" s="179"/>
      <c r="D9" s="179"/>
      <c r="E9" s="173"/>
      <c r="F9" s="184" t="str">
        <f>upper('Unbalanced PMR Recipe Data'!D1)</f>
        <v>RONNY LEJEUNE</v>
      </c>
      <c r="G9" s="179"/>
      <c r="H9" s="179"/>
      <c r="I9" s="174"/>
    </row>
    <row r="10">
      <c r="A10" s="175"/>
      <c r="E10" s="173"/>
      <c r="F10" s="179" t="str">
        <f>IF(F9="Ronny LeJeune","Lead Certified Canine Nutritionist",if(F9="Michelle Lowe","Certified Canine Nutritionist"," "))</f>
        <v>Lead Certified Canine Nutritionist</v>
      </c>
      <c r="G10" s="179"/>
      <c r="H10" s="179"/>
      <c r="I10" s="174"/>
    </row>
    <row r="11">
      <c r="A11" s="185"/>
      <c r="B11" s="186"/>
      <c r="C11" s="186"/>
      <c r="D11" s="186"/>
      <c r="E11" s="186"/>
      <c r="F11" s="186"/>
      <c r="G11" s="186"/>
      <c r="H11" s="186"/>
      <c r="I11" s="187"/>
    </row>
    <row r="12">
      <c r="A12" s="173"/>
      <c r="B12" s="173"/>
      <c r="C12" s="173"/>
      <c r="D12" s="173"/>
      <c r="E12" s="173"/>
      <c r="F12" s="173"/>
      <c r="G12" s="173"/>
      <c r="H12" s="173"/>
      <c r="I12" s="173"/>
    </row>
    <row r="13">
      <c r="A13" s="188" t="s">
        <v>113</v>
      </c>
      <c r="B13" s="189"/>
      <c r="C13" s="189"/>
      <c r="D13" s="189"/>
      <c r="E13" s="189"/>
      <c r="F13" s="189"/>
      <c r="G13" s="189"/>
      <c r="H13" s="189"/>
      <c r="I13" s="190"/>
    </row>
    <row r="14">
      <c r="A14" s="191" t="s">
        <v>114</v>
      </c>
      <c r="B14" s="192"/>
      <c r="C14" s="193" t="s">
        <v>115</v>
      </c>
      <c r="D14" s="194" t="s">
        <v>116</v>
      </c>
      <c r="E14" s="192"/>
      <c r="F14" s="192"/>
      <c r="G14" s="192"/>
      <c r="H14" s="192"/>
      <c r="I14" s="195"/>
    </row>
    <row r="15">
      <c r="A15" s="191" t="s">
        <v>117</v>
      </c>
      <c r="B15" s="192"/>
      <c r="C15" s="196" t="str">
        <f>proper(Cover!B7)</f>
        <v>Vip Membership Recipe</v>
      </c>
      <c r="D15" s="193"/>
      <c r="E15" s="197"/>
      <c r="F15" s="192"/>
      <c r="G15" s="192"/>
      <c r="H15" s="192"/>
      <c r="I15" s="195"/>
    </row>
    <row r="16">
      <c r="A16" s="191" t="s">
        <v>118</v>
      </c>
      <c r="B16" s="192"/>
      <c r="C16" s="193" t="str">
        <f>PROPER('Unbalanced PMR Recipe'!L3)</f>
        <v>Pet Name</v>
      </c>
      <c r="D16" s="193" t="str">
        <f>proper('Unbalanced PMR Recipe Data'!I2)</f>
        <v/>
      </c>
      <c r="E16" s="192"/>
      <c r="F16" s="192"/>
      <c r="G16" s="192"/>
      <c r="H16" s="192"/>
      <c r="I16" s="195"/>
    </row>
    <row r="17">
      <c r="A17" s="198" t="s">
        <v>119</v>
      </c>
      <c r="B17" s="199"/>
      <c r="C17" s="199"/>
      <c r="D17" s="199"/>
      <c r="E17" s="199"/>
      <c r="F17" s="199"/>
      <c r="G17" s="199"/>
      <c r="H17" s="199"/>
      <c r="I17" s="200"/>
    </row>
    <row r="18">
      <c r="A18" s="173"/>
      <c r="B18" s="173"/>
      <c r="C18" s="173"/>
      <c r="D18" s="173"/>
      <c r="E18" s="173"/>
      <c r="F18" s="173"/>
      <c r="G18" s="173"/>
      <c r="H18" s="173"/>
      <c r="I18" s="173"/>
    </row>
    <row r="19">
      <c r="A19" s="173"/>
      <c r="B19" s="173"/>
      <c r="C19" s="173"/>
      <c r="D19" s="173"/>
      <c r="E19" s="173"/>
      <c r="F19" s="173"/>
      <c r="G19" s="173"/>
      <c r="H19" s="173"/>
      <c r="I19" s="173"/>
    </row>
    <row r="20">
      <c r="A20" s="173"/>
      <c r="B20" s="173"/>
      <c r="C20" s="173"/>
      <c r="D20" s="173"/>
      <c r="E20" s="173"/>
      <c r="F20" s="173"/>
      <c r="G20" s="173"/>
      <c r="H20" s="173"/>
      <c r="I20" s="173"/>
    </row>
    <row r="21">
      <c r="A21" s="173"/>
      <c r="B21" s="173"/>
      <c r="C21" s="173"/>
      <c r="D21" s="173"/>
      <c r="E21" s="173"/>
      <c r="F21" s="173"/>
      <c r="G21" s="173"/>
      <c r="H21" s="173"/>
      <c r="I21" s="173"/>
    </row>
  </sheetData>
  <mergeCells count="19">
    <mergeCell ref="A2:I2"/>
    <mergeCell ref="A4:I4"/>
    <mergeCell ref="B6:D6"/>
    <mergeCell ref="F6:H6"/>
    <mergeCell ref="B7:D7"/>
    <mergeCell ref="F7:H7"/>
    <mergeCell ref="F8:H8"/>
    <mergeCell ref="D14:I14"/>
    <mergeCell ref="E15:I15"/>
    <mergeCell ref="A16:B16"/>
    <mergeCell ref="D16:I16"/>
    <mergeCell ref="A17:I17"/>
    <mergeCell ref="B8:D8"/>
    <mergeCell ref="B9:D9"/>
    <mergeCell ref="F9:H9"/>
    <mergeCell ref="F10:H10"/>
    <mergeCell ref="A13:I13"/>
    <mergeCell ref="A14:B14"/>
    <mergeCell ref="A15:B1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9.0"/>
    <col customWidth="1" min="2" max="2" width="3.0"/>
    <col customWidth="1" min="3" max="3" width="14.13"/>
    <col customWidth="1" min="4" max="4" width="20.75"/>
    <col customWidth="1" min="5" max="6" width="3.25"/>
    <col customWidth="1" min="7" max="7" width="18.88"/>
    <col customWidth="1" min="8" max="13" width="9.0"/>
  </cols>
  <sheetData>
    <row r="1">
      <c r="A1" s="201" t="s">
        <v>120</v>
      </c>
    </row>
    <row r="2" ht="15.75" customHeight="1">
      <c r="A2" s="202"/>
      <c r="C2" s="202"/>
      <c r="E2" s="202"/>
      <c r="F2" s="202"/>
      <c r="G2" s="202"/>
      <c r="H2" s="203"/>
      <c r="I2" s="203"/>
      <c r="J2" s="203"/>
      <c r="K2" s="203"/>
      <c r="L2" s="204"/>
      <c r="M2" s="205"/>
    </row>
    <row r="3">
      <c r="A3" s="206" t="s">
        <v>118</v>
      </c>
      <c r="B3" s="207"/>
      <c r="C3" s="207"/>
      <c r="D3" s="207"/>
      <c r="E3" s="207"/>
      <c r="F3" s="207"/>
      <c r="G3" s="207"/>
      <c r="H3" s="207"/>
      <c r="I3" s="207"/>
      <c r="J3" s="207"/>
      <c r="K3" s="177"/>
      <c r="L3" s="208" t="s">
        <v>121</v>
      </c>
      <c r="M3" s="209"/>
    </row>
    <row r="4">
      <c r="A4" s="206" t="str">
        <f>CONCATENATE("Ideal Weight in ",'Unbalanced PMR Recipe'!M4)</f>
        <v>Ideal Weight in LB</v>
      </c>
      <c r="B4" s="177"/>
      <c r="C4" s="206"/>
      <c r="D4" s="177"/>
      <c r="E4" s="206"/>
      <c r="F4" s="206"/>
      <c r="G4" s="206"/>
      <c r="H4" s="210"/>
      <c r="I4" s="210"/>
      <c r="J4" s="210"/>
      <c r="K4" s="210"/>
      <c r="L4" s="211">
        <v>50.0</v>
      </c>
      <c r="M4" s="212" t="s">
        <v>24</v>
      </c>
    </row>
    <row r="5">
      <c r="A5" s="213" t="s">
        <v>122</v>
      </c>
      <c r="B5" s="213"/>
      <c r="C5" s="213"/>
      <c r="D5" s="213"/>
      <c r="E5" s="213"/>
      <c r="F5" s="213"/>
      <c r="G5" s="179"/>
      <c r="H5" s="179"/>
      <c r="I5" s="179"/>
      <c r="J5" s="179"/>
      <c r="K5" s="214" t="str">
        <f>'Unbalanced PMR Recipe Data'!D8</f>
        <v>ALL LIFE STAGE</v>
      </c>
      <c r="L5" s="179"/>
      <c r="M5" s="179"/>
    </row>
    <row r="6">
      <c r="A6" s="213" t="s">
        <v>123</v>
      </c>
      <c r="B6" s="179"/>
      <c r="C6" s="213"/>
      <c r="D6" s="179"/>
      <c r="E6" s="213"/>
      <c r="F6" s="213"/>
      <c r="G6" s="213"/>
      <c r="H6" s="215"/>
      <c r="I6" s="215"/>
      <c r="J6" s="215"/>
      <c r="K6" s="215"/>
      <c r="L6" s="216">
        <v>1000.0</v>
      </c>
      <c r="M6" s="209"/>
    </row>
    <row r="7" hidden="1">
      <c r="A7" s="213" t="s">
        <v>124</v>
      </c>
      <c r="C7" s="217"/>
      <c r="E7" s="213"/>
      <c r="F7" s="213"/>
      <c r="G7" s="213"/>
      <c r="H7" s="215"/>
      <c r="I7" s="215"/>
      <c r="J7" s="218"/>
      <c r="K7" s="215"/>
      <c r="L7" s="219"/>
      <c r="M7" s="177"/>
    </row>
    <row r="8" ht="16.5" hidden="1" customHeight="1">
      <c r="A8" s="213" t="s">
        <v>125</v>
      </c>
      <c r="B8" s="177"/>
      <c r="C8" s="220"/>
      <c r="D8" s="177"/>
      <c r="E8" s="213"/>
      <c r="F8" s="213"/>
      <c r="G8" s="213"/>
      <c r="H8" s="215"/>
      <c r="I8" s="215"/>
      <c r="J8" s="221"/>
      <c r="K8" s="217"/>
      <c r="L8" s="222" t="str">
        <f>if('Unbalanced PMR Recipe'!M4="LB",sum(M4*L7)*16,sum(M4*L7)*1000)</f>
        <v>#VALUE!</v>
      </c>
      <c r="M8" s="223" t="str">
        <f>if('Unbalanced PMR Recipe'!M4="LB","OZ","G")</f>
        <v>OZ</v>
      </c>
    </row>
    <row r="9" ht="15.75" customHeight="1">
      <c r="A9" s="224"/>
      <c r="B9" s="224"/>
      <c r="C9" s="224"/>
      <c r="D9" s="203"/>
      <c r="E9" s="203"/>
      <c r="F9" s="203"/>
      <c r="G9" s="225"/>
      <c r="H9" s="226"/>
      <c r="J9" s="227"/>
      <c r="K9" s="224"/>
      <c r="L9" s="228"/>
      <c r="M9" s="229"/>
    </row>
    <row r="10" ht="18.0" customHeight="1">
      <c r="A10" s="230" t="s">
        <v>126</v>
      </c>
      <c r="B10" s="231" t="s">
        <v>127</v>
      </c>
      <c r="C10" s="232"/>
      <c r="D10" s="232"/>
      <c r="E10" s="232"/>
      <c r="F10" s="232"/>
      <c r="G10" s="232"/>
      <c r="H10" s="233" t="s">
        <v>128</v>
      </c>
      <c r="I10" s="232"/>
      <c r="J10" s="232"/>
      <c r="K10" s="234"/>
      <c r="L10" s="235" t="s">
        <v>129</v>
      </c>
      <c r="M10" s="232"/>
    </row>
    <row r="11">
      <c r="A11" s="236" t="str">
        <f>A1</f>
        <v>UNBALANCED PMR RECIPE</v>
      </c>
      <c r="B11" s="237">
        <f t="array" ref="B11:B13">SEQUENCE(3,1,1,1)</f>
        <v>1</v>
      </c>
      <c r="C11" s="238" t="str">
        <f>'Unbalanced PMR Recipe Shopping '!A15</f>
        <v>Rabbit, skinless, without organs, without fur</v>
      </c>
      <c r="D11" s="239"/>
      <c r="E11" s="239"/>
      <c r="F11" s="239"/>
      <c r="G11" s="239"/>
      <c r="H11" s="240">
        <f>sum(J11/28.35)</f>
        <v>14.2622956</v>
      </c>
      <c r="I11" s="241" t="s">
        <v>130</v>
      </c>
      <c r="J11" s="242">
        <f>sum(vlookup(C11,'Unbalanced PMR Recipe Data'!$G$1:$U$201,12,false))/('Unbalanced PMR Recipe Data'!$F$21/$L$6)</f>
        <v>404.3360802</v>
      </c>
      <c r="K11" s="243" t="s">
        <v>40</v>
      </c>
      <c r="L11" s="242">
        <f>sum((vlookup(C11,'Unbalanced PMR Recipe Data'!$G$1:$U$201,14,false))/('Unbalanced PMR Recipe Data'!$F$21/$L$6))</f>
        <v>513.5068218</v>
      </c>
      <c r="M11" s="244" t="s">
        <v>131</v>
      </c>
    </row>
    <row r="12">
      <c r="A12" s="245"/>
      <c r="B12" s="246">
        <v>2.0</v>
      </c>
      <c r="C12" s="247" t="str">
        <f>'Unbalanced PMR Recipe Shopping '!A16</f>
        <v>Rabbit Heart</v>
      </c>
      <c r="D12" s="248"/>
      <c r="E12" s="248"/>
      <c r="F12" s="248"/>
      <c r="G12" s="248"/>
      <c r="H12" s="249">
        <f>J12/28.35</f>
        <v>8.074924396</v>
      </c>
      <c r="I12" s="250" t="s">
        <v>130</v>
      </c>
      <c r="J12" s="251">
        <f>sum(vlookup(C12,'Unbalanced PMR Recipe Data'!$G$1:$U$201,12,false))/('Unbalanced PMR Recipe Data'!$F$21/$L$6)</f>
        <v>228.9241066</v>
      </c>
      <c r="K12" s="252" t="s">
        <v>40</v>
      </c>
      <c r="L12" s="251">
        <f>sum((vlookup(C12,'Unbalanced PMR Recipe Data'!$G$1:$U$201,14,false))/('Unbalanced PMR Recipe Data'!$F$21/$L$6))</f>
        <v>320.4937493</v>
      </c>
      <c r="M12" s="253" t="s">
        <v>131</v>
      </c>
    </row>
    <row r="13">
      <c r="A13" s="254"/>
      <c r="B13" s="255">
        <v>3.0</v>
      </c>
      <c r="C13" s="256" t="str">
        <f>'Unbalanced PMR Recipe Shopping '!A17</f>
        <v>Rabbit Liver</v>
      </c>
      <c r="D13" s="257"/>
      <c r="E13" s="257"/>
      <c r="F13" s="257"/>
      <c r="G13" s="257"/>
      <c r="H13" s="258">
        <f t="shared" ref="H13:H14" si="1">sum(J13/28.35)</f>
        <v>4.574499254</v>
      </c>
      <c r="I13" s="259" t="s">
        <v>130</v>
      </c>
      <c r="J13" s="242">
        <f>sum(vlookup(C13,'Unbalanced PMR Recipe Data'!$G$1:$U$201,12,false))/('Unbalanced PMR Recipe Data'!$F$21/$L$6)</f>
        <v>129.6870539</v>
      </c>
      <c r="K13" s="260" t="s">
        <v>40</v>
      </c>
      <c r="L13" s="242">
        <f>sum((vlookup(C13,'Unbalanced PMR Recipe Data'!$G$1:$U$201,14,false))/('Unbalanced PMR Recipe Data'!$F$21/$L$6))</f>
        <v>165.9994289</v>
      </c>
      <c r="M13" s="261" t="s">
        <v>131</v>
      </c>
    </row>
    <row r="14">
      <c r="A14" s="262"/>
      <c r="B14" s="263"/>
      <c r="C14" s="263"/>
      <c r="D14" s="264"/>
      <c r="E14" s="263"/>
      <c r="F14" s="263"/>
      <c r="G14" s="263"/>
      <c r="H14" s="265">
        <f t="shared" si="1"/>
        <v>26.91171925</v>
      </c>
      <c r="I14" s="266" t="str">
        <f>I11</f>
        <v>OZ</v>
      </c>
      <c r="J14" s="267">
        <f>sum(J11:J13)</f>
        <v>762.9472406</v>
      </c>
      <c r="K14" s="268" t="str">
        <f>K11</f>
        <v>G</v>
      </c>
      <c r="L14" s="269">
        <f>sum(L11:L13)</f>
        <v>1000</v>
      </c>
      <c r="M14" s="270" t="str">
        <f>M11</f>
        <v>KCAL</v>
      </c>
    </row>
    <row r="15" ht="15.75" customHeight="1">
      <c r="A15" s="271"/>
      <c r="B15" s="203"/>
      <c r="C15" s="203"/>
      <c r="D15" s="272"/>
      <c r="E15" s="203"/>
      <c r="F15" s="203"/>
      <c r="G15" s="203"/>
      <c r="H15" s="273"/>
      <c r="I15" s="274"/>
      <c r="J15" s="275"/>
      <c r="K15" s="276"/>
      <c r="L15" s="277"/>
      <c r="M15" s="278"/>
    </row>
    <row r="16" ht="15.75" customHeight="1">
      <c r="A16" s="279" t="str">
        <f>CONCATENATE("Notes From ",Cover!F10,", ",'Unbalanced PMR Recipe Data'!D1)</f>
        <v>Notes From Lead Certified Canine Nutritionist, Ronny LeJeune</v>
      </c>
      <c r="B16" s="280"/>
      <c r="C16" s="280"/>
      <c r="D16" s="280"/>
      <c r="E16" s="280"/>
      <c r="F16" s="280"/>
      <c r="G16" s="280"/>
      <c r="H16" s="280"/>
      <c r="I16" s="280"/>
      <c r="J16" s="280"/>
      <c r="K16" s="280"/>
      <c r="L16" s="280"/>
      <c r="M16" s="209"/>
    </row>
    <row r="17">
      <c r="A17" s="281"/>
      <c r="B17" s="280"/>
      <c r="C17" s="280"/>
      <c r="D17" s="280"/>
      <c r="E17" s="280"/>
      <c r="F17" s="280"/>
      <c r="G17" s="280"/>
      <c r="H17" s="280"/>
      <c r="I17" s="280"/>
      <c r="J17" s="280"/>
      <c r="K17" s="280"/>
      <c r="L17" s="280"/>
      <c r="M17" s="209"/>
    </row>
    <row r="18" ht="15.75" customHeight="1">
      <c r="A18" s="271"/>
      <c r="B18" s="203"/>
      <c r="C18" s="203"/>
      <c r="D18" s="272"/>
      <c r="E18" s="203"/>
      <c r="F18" s="203"/>
      <c r="G18" s="203"/>
      <c r="H18" s="273"/>
      <c r="I18" s="274"/>
      <c r="J18" s="282"/>
      <c r="K18" s="276"/>
      <c r="L18" s="277"/>
      <c r="M18" s="278"/>
    </row>
    <row r="19">
      <c r="A19" s="283" t="s">
        <v>132</v>
      </c>
      <c r="B19" s="283"/>
      <c r="C19" s="283"/>
      <c r="D19" s="283"/>
      <c r="E19" s="283"/>
      <c r="F19" s="283"/>
      <c r="G19" s="273"/>
      <c r="H19" s="283" t="s">
        <v>133</v>
      </c>
      <c r="I19" s="177"/>
      <c r="J19" s="177"/>
      <c r="K19" s="177"/>
      <c r="L19" s="177"/>
      <c r="M19" s="177"/>
    </row>
    <row r="20">
      <c r="A20" s="271"/>
      <c r="B20" s="203"/>
      <c r="C20" s="203"/>
      <c r="D20" s="203"/>
      <c r="E20" s="203"/>
      <c r="F20" s="203"/>
      <c r="G20" s="203"/>
      <c r="H20" s="273"/>
      <c r="I20" s="274"/>
      <c r="J20" s="282"/>
      <c r="K20" s="276"/>
      <c r="L20" s="277"/>
      <c r="M20" s="278"/>
    </row>
    <row r="21">
      <c r="A21" s="271"/>
      <c r="B21" s="203"/>
      <c r="C21" s="203"/>
      <c r="D21" s="203"/>
      <c r="E21" s="203"/>
      <c r="F21" s="203"/>
      <c r="G21" s="203"/>
      <c r="H21" s="273"/>
      <c r="I21" s="274"/>
      <c r="J21" s="282"/>
      <c r="K21" s="276"/>
      <c r="L21" s="277"/>
      <c r="M21" s="278"/>
    </row>
    <row r="22">
      <c r="A22" s="271"/>
      <c r="B22" s="203"/>
      <c r="C22" s="203"/>
      <c r="D22" s="203"/>
      <c r="E22" s="203"/>
      <c r="F22" s="203"/>
      <c r="G22" s="203"/>
      <c r="H22" s="284"/>
      <c r="I22" s="284"/>
      <c r="J22" s="284"/>
      <c r="K22" s="284"/>
      <c r="L22" s="284"/>
      <c r="M22" s="284"/>
    </row>
    <row r="23">
      <c r="A23" s="271"/>
      <c r="B23" s="203"/>
      <c r="C23" s="203"/>
      <c r="D23" s="203"/>
      <c r="E23" s="203"/>
      <c r="F23" s="203"/>
      <c r="G23" s="203"/>
      <c r="H23" s="284"/>
      <c r="I23" s="284"/>
      <c r="J23" s="284"/>
      <c r="K23" s="284"/>
      <c r="L23" s="284"/>
      <c r="M23" s="284"/>
    </row>
    <row r="24">
      <c r="A24" s="271"/>
      <c r="B24" s="203"/>
      <c r="C24" s="203"/>
      <c r="D24" s="203"/>
      <c r="E24" s="203"/>
      <c r="F24" s="203"/>
      <c r="G24" s="203"/>
      <c r="H24" s="284"/>
      <c r="I24" s="284"/>
      <c r="J24" s="284"/>
      <c r="K24" s="284"/>
      <c r="L24" s="284"/>
      <c r="M24" s="284"/>
    </row>
    <row r="25">
      <c r="A25" s="271"/>
      <c r="B25" s="203"/>
      <c r="C25" s="203"/>
      <c r="D25" s="203"/>
      <c r="E25" s="203"/>
      <c r="F25" s="203"/>
      <c r="G25" s="203"/>
      <c r="H25" s="284"/>
      <c r="I25" s="284"/>
      <c r="J25" s="284"/>
      <c r="K25" s="284"/>
      <c r="L25" s="284"/>
      <c r="M25" s="284"/>
    </row>
    <row r="26">
      <c r="A26" s="271"/>
      <c r="B26" s="203"/>
      <c r="C26" s="203"/>
      <c r="D26" s="203"/>
      <c r="E26" s="203"/>
      <c r="F26" s="203"/>
      <c r="G26" s="203"/>
      <c r="H26" s="284"/>
      <c r="I26" s="284"/>
      <c r="J26" s="284"/>
      <c r="K26" s="284"/>
      <c r="L26" s="284"/>
      <c r="M26" s="284"/>
    </row>
    <row r="27">
      <c r="A27" s="271"/>
      <c r="B27" s="203"/>
      <c r="C27" s="203"/>
      <c r="D27" s="203"/>
      <c r="E27" s="203"/>
      <c r="F27" s="203"/>
      <c r="G27" s="203"/>
      <c r="H27" s="284"/>
      <c r="I27" s="284"/>
      <c r="J27" s="284"/>
      <c r="K27" s="284"/>
      <c r="L27" s="284"/>
      <c r="M27" s="284"/>
    </row>
    <row r="28">
      <c r="A28" s="271"/>
      <c r="B28" s="203"/>
      <c r="C28" s="203"/>
      <c r="D28" s="203"/>
      <c r="E28" s="203"/>
      <c r="F28" s="203"/>
      <c r="G28" s="203"/>
      <c r="H28" s="284"/>
      <c r="I28" s="284"/>
      <c r="J28" s="284"/>
      <c r="K28" s="284"/>
      <c r="L28" s="284"/>
      <c r="M28" s="284"/>
    </row>
    <row r="29">
      <c r="A29" s="271"/>
      <c r="B29" s="203"/>
      <c r="C29" s="203"/>
      <c r="D29" s="203"/>
      <c r="E29" s="203"/>
      <c r="F29" s="203"/>
      <c r="G29" s="203"/>
      <c r="H29" s="284"/>
      <c r="I29" s="284"/>
      <c r="J29" s="284"/>
      <c r="K29" s="284"/>
      <c r="L29" s="284"/>
      <c r="M29" s="284"/>
    </row>
    <row r="30">
      <c r="A30" s="285">
        <f>sum('Unbalanced PMR Recipe'!D30/('Unbalanced PMR Recipe'!$D$30+'Unbalanced PMR Recipe'!$D$31+'Unbalanced PMR Recipe'!$D$32+'Unbalanced PMR Recipe'!$D$33+'Unbalanced PMR Recipe'!$D$35+'Unbalanced PMR Recipe'!D34))</f>
        <v>0.7349704777</v>
      </c>
      <c r="B30" s="283" t="s">
        <v>134</v>
      </c>
      <c r="C30" s="177"/>
      <c r="D30" s="286">
        <f>sum('Unbalanced PMR Recipe Data'!F30/('Unbalanced PMR Recipe Data'!$F$21/$L$6))</f>
        <v>563.2062154</v>
      </c>
      <c r="E30" s="287" t="s">
        <v>40</v>
      </c>
      <c r="F30" s="210"/>
      <c r="G30" s="203"/>
      <c r="H30" s="285">
        <f>sum('Unbalanced PMR Recipe'!L30/('Unbalanced PMR Recipe'!L30+'Unbalanced PMR Recipe'!L31+'Unbalanced PMR Recipe'!L32+'Unbalanced PMR Recipe'!L33+'Unbalanced PMR Recipe'!L35+'Unbalanced PMR Recipe'!L34))</f>
        <v>0</v>
      </c>
      <c r="I30" s="283" t="str">
        <f t="shared" ref="I30:I35" si="2">B30</f>
        <v>Moisture</v>
      </c>
      <c r="J30" s="288"/>
      <c r="K30" s="289"/>
      <c r="L30" s="290">
        <v>0.0</v>
      </c>
      <c r="M30" s="291" t="str">
        <f t="shared" ref="M30:M35" si="3">$K$11</f>
        <v>G</v>
      </c>
    </row>
    <row r="31">
      <c r="A31" s="292">
        <f>sum('Unbalanced PMR Recipe'!D31/('Unbalanced PMR Recipe'!$D$30+'Unbalanced PMR Recipe'!$D$31+'Unbalanced PMR Recipe'!$D$32+'Unbalanced PMR Recipe'!$D$33+'Unbalanced PMR Recipe'!$D$35+'Unbalanced PMR Recipe'!D34))</f>
        <v>0.1746608716</v>
      </c>
      <c r="B31" s="293" t="s">
        <v>135</v>
      </c>
      <c r="C31" s="179"/>
      <c r="D31" s="294">
        <f>sum('Unbalanced PMR Recipe Data'!F22/('Unbalanced PMR Recipe Data'!$F$21/$L$6))</f>
        <v>133.8422311</v>
      </c>
      <c r="E31" s="295" t="s">
        <v>40</v>
      </c>
      <c r="F31" s="215"/>
      <c r="G31" s="203"/>
      <c r="H31" s="292">
        <f>sum('Unbalanced PMR Recipe'!L31/('Unbalanced PMR Recipe'!L30+'Unbalanced PMR Recipe'!L31+'Unbalanced PMR Recipe'!L32+'Unbalanced PMR Recipe'!L33+'Unbalanced PMR Recipe'!L35+'Unbalanced PMR Recipe'!L34))</f>
        <v>0.6590242104</v>
      </c>
      <c r="I31" s="283" t="str">
        <f t="shared" si="2"/>
        <v>Protein</v>
      </c>
      <c r="J31" s="296"/>
      <c r="K31" s="297"/>
      <c r="L31" s="294">
        <f>'Unbalanced PMR Recipe'!D31</f>
        <v>133.8422311</v>
      </c>
      <c r="M31" s="291" t="str">
        <f t="shared" si="3"/>
        <v>G</v>
      </c>
    </row>
    <row r="32">
      <c r="A32" s="298">
        <f>sum('Unbalanced PMR Recipe'!D32/('Unbalanced PMR Recipe'!$D$30+'Unbalanced PMR Recipe'!$D$31+'Unbalanced PMR Recipe'!$D$32+'Unbalanced PMR Recipe'!$D$33+'Unbalanced PMR Recipe'!$D$35+'Unbalanced PMR Recipe'!D34))</f>
        <v>0.06192642622</v>
      </c>
      <c r="B32" s="299" t="s">
        <v>136</v>
      </c>
      <c r="C32" s="179"/>
      <c r="D32" s="294">
        <f>sum('Unbalanced PMR Recipe Data'!F23/('Unbalanced PMR Recipe Data'!$F$21/$L$6))</f>
        <v>47.4540804</v>
      </c>
      <c r="E32" s="295" t="s">
        <v>40</v>
      </c>
      <c r="F32" s="215"/>
      <c r="G32" s="203"/>
      <c r="H32" s="298">
        <f>sum('Unbalanced PMR Recipe'!L32/('Unbalanced PMR Recipe'!L30+'Unbalanced PMR Recipe'!L31+'Unbalanced PMR Recipe'!L32+'Unbalanced PMR Recipe'!L33+'Unbalanced PMR Recipe'!L35+'Unbalanced PMR Recipe'!L34))</f>
        <v>0.2336585965</v>
      </c>
      <c r="I32" s="283" t="str">
        <f t="shared" si="2"/>
        <v>Fat</v>
      </c>
      <c r="J32" s="296"/>
      <c r="K32" s="297"/>
      <c r="L32" s="294">
        <f>'Unbalanced PMR Recipe'!D32</f>
        <v>47.4540804</v>
      </c>
      <c r="M32" s="291" t="str">
        <f t="shared" si="3"/>
        <v>G</v>
      </c>
    </row>
    <row r="33">
      <c r="A33" s="300">
        <f>sum('Unbalanced PMR Recipe'!D33/('Unbalanced PMR Recipe'!$D$30+'Unbalanced PMR Recipe'!$D$31+'Unbalanced PMR Recipe'!$D$32+'Unbalanced PMR Recipe'!$D$33+'Unbalanced PMR Recipe'!$D$35+'Unbalanced PMR Recipe'!D34))</f>
        <v>0.001194701103</v>
      </c>
      <c r="B33" s="293" t="s">
        <v>137</v>
      </c>
      <c r="C33" s="179"/>
      <c r="D33" s="294">
        <f>sum('Unbalanced PMR Recipe Data'!F28/('Unbalanced PMR Recipe Data'!$F$21/$L$6))</f>
        <v>0.9154967543</v>
      </c>
      <c r="E33" s="295" t="s">
        <v>40</v>
      </c>
      <c r="F33" s="215"/>
      <c r="G33" s="203"/>
      <c r="H33" s="300">
        <f>sum('Unbalanced PMR Recipe'!L33/('Unbalanced PMR Recipe'!L30+'Unbalanced PMR Recipe'!L31+'Unbalanced PMR Recipe'!L32+'Unbalanced PMR Recipe'!L33+'Unbalanced PMR Recipe'!L35+'Unbalanced PMR Recipe'!L34))</f>
        <v>0.004507803859</v>
      </c>
      <c r="I33" s="283" t="str">
        <f t="shared" si="2"/>
        <v>Carbohydrate</v>
      </c>
      <c r="J33" s="296"/>
      <c r="K33" s="297"/>
      <c r="L33" s="294">
        <f>'Unbalanced PMR Recipe'!D33</f>
        <v>0.9154967543</v>
      </c>
      <c r="M33" s="291" t="str">
        <f t="shared" si="3"/>
        <v>G</v>
      </c>
    </row>
    <row r="34">
      <c r="A34" s="301">
        <f>sum('Unbalanced PMR Recipe'!D34/('Unbalanced PMR Recipe'!$D$30+'Unbalanced PMR Recipe'!$D$31+'Unbalanced PMR Recipe'!$D$32+'Unbalanced PMR Recipe'!$D$33+'Unbalanced PMR Recipe'!$D$35+'Unbalanced PMR Recipe'!D34))</f>
        <v>0</v>
      </c>
      <c r="B34" s="293" t="s">
        <v>138</v>
      </c>
      <c r="C34" s="179"/>
      <c r="D34" s="294">
        <f>sum('Unbalanced PMR Recipe Data'!F29/('Unbalanced PMR Recipe Data'!$F$21/$L$6))</f>
        <v>0</v>
      </c>
      <c r="E34" s="295" t="s">
        <v>40</v>
      </c>
      <c r="F34" s="215"/>
      <c r="G34" s="203"/>
      <c r="H34" s="301">
        <f>sum('Unbalanced PMR Recipe'!L34/('Unbalanced PMR Recipe'!L30+'Unbalanced PMR Recipe'!L31+'Unbalanced PMR Recipe'!L32+'Unbalanced PMR Recipe'!L33+'Unbalanced PMR Recipe'!L35+'Unbalanced PMR Recipe'!L34))</f>
        <v>0</v>
      </c>
      <c r="I34" s="283" t="str">
        <f t="shared" si="2"/>
        <v>Fiber</v>
      </c>
      <c r="J34" s="302"/>
      <c r="K34" s="303"/>
      <c r="L34" s="294">
        <f>'Unbalanced PMR Recipe'!D34</f>
        <v>0</v>
      </c>
      <c r="M34" s="291" t="str">
        <f t="shared" si="3"/>
        <v>G</v>
      </c>
    </row>
    <row r="35">
      <c r="A35" s="304">
        <f>sum('Unbalanced PMR Recipe'!D35/('Unbalanced PMR Recipe'!$D$30+'Unbalanced PMR Recipe'!$D$31+'Unbalanced PMR Recipe'!$D$32+'Unbalanced PMR Recipe'!$D$33+'Unbalanced PMR Recipe'!$D$35+'Unbalanced PMR Recipe'!D34))</f>
        <v>0.02724752331</v>
      </c>
      <c r="B35" s="293" t="s">
        <v>139</v>
      </c>
      <c r="C35" s="179"/>
      <c r="D35" s="294">
        <f>sum('Unbalanced PMR Recipe Data'!F31/('Unbalanced PMR Recipe Data'!$F$21/$L$6))</f>
        <v>20.87971551</v>
      </c>
      <c r="E35" s="295" t="s">
        <v>40</v>
      </c>
      <c r="F35" s="215"/>
      <c r="G35" s="203"/>
      <c r="H35" s="304">
        <f>sum('Unbalanced PMR Recipe'!L35/('Unbalanced PMR Recipe'!L30+'Unbalanced PMR Recipe'!L31+'Unbalanced PMR Recipe'!L32+'Unbalanced PMR Recipe'!L33+'Unbalanced PMR Recipe'!L35+'Unbalanced PMR Recipe'!L34))</f>
        <v>0.1028093892</v>
      </c>
      <c r="I35" s="283" t="str">
        <f t="shared" si="2"/>
        <v>Ash</v>
      </c>
      <c r="J35" s="296"/>
      <c r="K35" s="297"/>
      <c r="L35" s="294">
        <f>'Unbalanced PMR Recipe'!D35</f>
        <v>20.87971551</v>
      </c>
      <c r="M35" s="291" t="str">
        <f t="shared" si="3"/>
        <v>G</v>
      </c>
    </row>
  </sheetData>
  <mergeCells count="15">
    <mergeCell ref="A1:M1"/>
    <mergeCell ref="L3:M3"/>
    <mergeCell ref="K5:M5"/>
    <mergeCell ref="L6:M6"/>
    <mergeCell ref="L7:M7"/>
    <mergeCell ref="H10:K10"/>
    <mergeCell ref="L10:M10"/>
    <mergeCell ref="A16:M16"/>
    <mergeCell ref="A17:M17"/>
    <mergeCell ref="H19:M19"/>
    <mergeCell ref="A11:A13"/>
    <mergeCell ref="B10:G10"/>
    <mergeCell ref="C11:G11"/>
    <mergeCell ref="C12:G12"/>
    <mergeCell ref="C13:G13"/>
  </mergeCells>
  <conditionalFormatting sqref="K14">
    <cfRule type="expression" dxfId="1" priority="1">
      <formula>M8="g"</formula>
    </cfRule>
  </conditionalFormatting>
  <conditionalFormatting sqref="J14">
    <cfRule type="expression" dxfId="1" priority="2">
      <formula>M8="g"</formula>
    </cfRule>
  </conditionalFormatting>
  <conditionalFormatting sqref="J11:K13">
    <cfRule type="expression" dxfId="2" priority="3">
      <formula>$M$8="g"</formula>
    </cfRule>
  </conditionalFormatting>
  <conditionalFormatting sqref="J12:J13">
    <cfRule type="expression" dxfId="2" priority="4">
      <formula>M8="g"</formula>
    </cfRule>
  </conditionalFormatting>
  <conditionalFormatting sqref="K11:K13">
    <cfRule type="expression" dxfId="2" priority="5">
      <formula>$M$8="g"</formula>
    </cfRule>
  </conditionalFormatting>
  <conditionalFormatting sqref="J13">
    <cfRule type="expression" dxfId="2" priority="6">
      <formula>M8="g"</formula>
    </cfRule>
  </conditionalFormatting>
  <conditionalFormatting sqref="H14">
    <cfRule type="expression" dxfId="1" priority="7">
      <formula>M8="OZ"</formula>
    </cfRule>
  </conditionalFormatting>
  <conditionalFormatting sqref="I14">
    <cfRule type="expression" dxfId="1" priority="8">
      <formula>M8="OZ"</formula>
    </cfRule>
  </conditionalFormatting>
  <conditionalFormatting sqref="I11:I13">
    <cfRule type="expression" dxfId="2" priority="9">
      <formula>$M$8="OZ"</formula>
    </cfRule>
  </conditionalFormatting>
  <conditionalFormatting sqref="H11:I13">
    <cfRule type="expression" dxfId="2" priority="10">
      <formula>$M$8="OZ"</formula>
    </cfRule>
  </conditionalFormatting>
  <dataValidations>
    <dataValidation type="list" allowBlank="1" sqref="M4">
      <formula1>"LB,KG"</formula1>
    </dataValidation>
    <dataValidation type="list" allowBlank="1" showDropDown="1" sqref="J7 L7">
      <formula1>"1%,1.25%,1.5%,1.75%,2%,2.25%,2.5%,2.75%,3%,3.25%,3.5%,3.75%,4%,4.25%,4.5%,4.75%,5%,5.5%,6%,6.5%,7%,7.5%,8%,8.5%,9%,9.5%,10%"</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4" width="15.25"/>
    <col customWidth="1" min="5" max="6" width="1.88"/>
    <col customWidth="1" min="7" max="10" width="15.25"/>
  </cols>
  <sheetData>
    <row r="1">
      <c r="A1" s="201" t="str">
        <f>UPPER(CONCATENATE('Unbalanced PMR Recipe'!A11," ANALYSIS"))</f>
        <v>UNBALANCED PMR RECIPE ANALYSIS</v>
      </c>
    </row>
    <row r="2" ht="15.75" customHeight="1">
      <c r="A2" s="305"/>
      <c r="B2" s="284"/>
      <c r="E2" s="306"/>
      <c r="F2" s="306"/>
      <c r="G2" s="306"/>
      <c r="H2" s="284"/>
      <c r="I2" s="306"/>
      <c r="J2" s="306"/>
    </row>
    <row r="3">
      <c r="A3" s="307" t="s">
        <v>140</v>
      </c>
      <c r="B3" s="308"/>
      <c r="C3" s="177"/>
      <c r="D3" s="177"/>
      <c r="E3" s="309"/>
      <c r="F3" s="309"/>
      <c r="G3" s="309"/>
      <c r="H3" s="308"/>
      <c r="I3" s="310" t="s">
        <v>141</v>
      </c>
      <c r="J3" s="177"/>
    </row>
    <row r="4">
      <c r="A4" s="307" t="s">
        <v>142</v>
      </c>
      <c r="B4" s="308"/>
      <c r="C4" s="177"/>
      <c r="D4" s="177"/>
      <c r="E4" s="309"/>
      <c r="F4" s="309"/>
      <c r="G4" s="309"/>
      <c r="H4" s="308"/>
      <c r="I4" s="311" t="str">
        <f>upper(IF('Unbalanced PMR Recipe Data'!D7="Dog","Canine",IF('Unbalanced PMR Recipe Data'!D7="Cat","Feline"," ")))</f>
        <v>CANINE</v>
      </c>
      <c r="J4" s="177"/>
    </row>
    <row r="5">
      <c r="A5" s="312" t="s">
        <v>122</v>
      </c>
      <c r="B5" s="313"/>
      <c r="C5" s="179"/>
      <c r="D5" s="179"/>
      <c r="E5" s="314"/>
      <c r="F5" s="314"/>
      <c r="G5" s="314"/>
      <c r="H5" s="313"/>
      <c r="I5" s="315" t="s">
        <v>143</v>
      </c>
      <c r="J5" s="179"/>
    </row>
    <row r="6">
      <c r="A6" s="312" t="s">
        <v>144</v>
      </c>
      <c r="B6" s="313"/>
      <c r="C6" s="179"/>
      <c r="D6" s="179"/>
      <c r="E6" s="179"/>
      <c r="F6" s="313"/>
      <c r="G6" s="313"/>
      <c r="H6" s="313"/>
      <c r="I6" s="177"/>
      <c r="J6" s="316">
        <f>'Unbalanced PMR Recipe'!L6</f>
        <v>1000</v>
      </c>
    </row>
    <row r="7" ht="15.75" customHeight="1">
      <c r="A7" s="284"/>
      <c r="B7" s="284"/>
      <c r="C7" s="284"/>
      <c r="D7" s="284"/>
      <c r="E7" s="284"/>
      <c r="F7" s="284"/>
      <c r="G7" s="284"/>
      <c r="H7" s="284"/>
      <c r="I7" s="284"/>
      <c r="J7" s="284"/>
    </row>
    <row r="8">
      <c r="A8" s="317" t="s">
        <v>145</v>
      </c>
      <c r="B8" s="318"/>
      <c r="C8" s="319" t="s">
        <v>146</v>
      </c>
      <c r="D8" s="320"/>
      <c r="E8" s="321"/>
      <c r="F8" s="319"/>
      <c r="G8" s="322" t="s">
        <v>147</v>
      </c>
      <c r="H8" s="323"/>
      <c r="I8" s="322" t="s">
        <v>148</v>
      </c>
      <c r="J8" s="323"/>
    </row>
    <row r="9">
      <c r="A9" s="324" t="s">
        <v>149</v>
      </c>
      <c r="B9" s="325"/>
      <c r="C9" s="326">
        <f>sum('Unbalanced PMR Recipe Data'!F22)/('Unbalanced PMR Recipe Data'!F21/'Unbalanced PMR Recipe'!L6)</f>
        <v>133.8422311</v>
      </c>
      <c r="D9" s="327" t="s">
        <v>36</v>
      </c>
      <c r="E9" s="328"/>
      <c r="F9" s="328"/>
      <c r="G9" s="329">
        <f>if(and(I5="Adult Maintenance",I4="Canine"),sum((20/1000)*'Unbalanced PMR Recipe'!L6),if(and(I5="Growth &amp; Development",I4="Canine"),sum((35/1000)*'Unbalanced PMR Recipe'!L6),if(and(I5="Adult Maintenance",I4="Feline"),sum((40/1000)*'Unbalanced PMR Recipe'!L6),if(and(I5="Growth &amp; Development",I4="Feline"),sum((40/1000)*'Unbalanced PMR Recipe'!L6),if(and(I5="Gestation &amp; Lactation",I4="Canine"),sum(( 50/1000)*'Unbalanced PMR Recipe'!L6),
if(and(I5="Gestation &amp; Lactation",I4="Feline"),sum((40/1000)*'Unbalanced PMR Recipe'!L6),""))))))</f>
        <v>20</v>
      </c>
      <c r="H9" s="329" t="str">
        <f t="shared" ref="H9:H22" si="1">D9</f>
        <v>g</v>
      </c>
      <c r="I9" s="329">
        <f>if(and(I5="Adult Maintenance",I4="Canine"),sum((25/1000)*'Unbalanced PMR Recipe'!L6),if(and(I5="Growth &amp; Development",I4="Canine"),sum((43.8/1000)*'Unbalanced PMR Recipe'!L6),if(and(I5="Adult Maintenance",I4="Feline"),sum((50/1000)*'Unbalanced PMR Recipe'!L6),if(and(I5="Growth &amp; Development",I4="Feline"),sum((50/1000)*'Unbalanced PMR Recipe'!L6),if(and(I5="Gestation &amp; Lactation",I4="Canine"),sum(( 50/1000)*'Unbalanced PMR Recipe'!L6),
if(and(I5="Gestation &amp; Lactation",I4="Feline"),sum(( 50/1000)*'Unbalanced PMR Recipe'!L6),""))))))</f>
        <v>25</v>
      </c>
      <c r="J9" s="329" t="str">
        <f t="shared" ref="J9:J22" si="2">H9</f>
        <v>g</v>
      </c>
    </row>
    <row r="10">
      <c r="A10" s="330" t="s">
        <v>150</v>
      </c>
      <c r="B10" s="331"/>
      <c r="C10" s="332">
        <f>sum('Unbalanced PMR Recipe Data'!I50)/('Unbalanced PMR Recipe Data'!F21/'Unbalanced PMR Recipe'!L6)</f>
        <v>8.625836377</v>
      </c>
      <c r="D10" s="333" t="s">
        <v>36</v>
      </c>
      <c r="E10" s="334"/>
      <c r="F10" s="334"/>
      <c r="G10" s="335">
        <f>if(and(I5="Adult Maintenance",I4="Canine"),sum((0.7/1000)*'Unbalanced PMR Recipe'!L6),if(and(I5="Growth &amp; Development",I4="Canine"),sum((1.33/1000)*'Unbalanced PMR Recipe'!L6),if(and(I5="Adult Maintenance",I4="Feline"),sum((1.93/1000)*'Unbalanced PMR Recipe'!L6),if(and(I5="Growth &amp; Development",I4="Feline"),sum((1.93/1000)*'Unbalanced PMR Recipe'!L6),if(and(I5="Gestation &amp; Lactation",I4="Canine"),sum((2.5/1000)*'Unbalanced PMR Recipe'!L6),
if(and(I5="Gestation &amp; Lactation",I4="Feline"),sum(( 1.93/1000)*'Unbalanced PMR Recipe'!L6),""))))))</f>
        <v>0.7</v>
      </c>
      <c r="H10" s="336" t="str">
        <f t="shared" si="1"/>
        <v>g</v>
      </c>
      <c r="I10" s="335">
        <f>if(and(I5="Adult Maintenance",I4="Canine"),sum((0.88/1000)*'Unbalanced PMR Recipe'!L6),if(and(I5="Growth &amp; Development",I4="Canine"),sum((1.65/1000)*'Unbalanced PMR Recipe'!L6),if(and(I5="Adult Maintenance",I4="Feline"),sum((1.93/1000)*'Unbalanced PMR Recipe'!L6),if(and(I5="Growth &amp; Development",I4="Feline"),sum((1.93/1000)*'Unbalanced PMR Recipe'!L6),if(and(I5="Gestation &amp; Lactation",I4="Canine"),sum(( 2.5/1000)*'Unbalanced PMR Recipe'!L6),
if(and(I5="Gestation &amp; Lactation",I4="Feline"),sum(( 1.93/1000)*'Unbalanced PMR Recipe'!L6),""))))))</f>
        <v>0.88</v>
      </c>
      <c r="J10" s="336" t="str">
        <f t="shared" si="2"/>
        <v>g</v>
      </c>
    </row>
    <row r="11">
      <c r="A11" s="337" t="s">
        <v>151</v>
      </c>
      <c r="B11" s="338"/>
      <c r="C11" s="339">
        <f>sum('Unbalanced PMR Recipe Data'!I51)/('Unbalanced PMR Recipe Data'!F21/'Unbalanced PMR Recipe'!L6)</f>
        <v>3.624049311</v>
      </c>
      <c r="D11" s="340" t="s">
        <v>36</v>
      </c>
      <c r="E11" s="341"/>
      <c r="F11" s="341"/>
      <c r="G11" s="342">
        <f>if(and(I5="Adult Maintenance",I4="Canine"),sum((0.37/1000)*'Unbalanced PMR Recipe'!L6),if(and(I5="Growth &amp; Development",I4="Canine"),sum((0.5/1000)*'Unbalanced PMR Recipe'!L6),if(and(I5="Adult Maintenance",I4="Feline"),sum((0.65/1000)*'Unbalanced PMR Recipe'!L6),if(and(I5="Growth &amp; Development",I4="Feline"),sum((0.65/1000)*'Unbalanced PMR Recipe'!L6),if(and(I5="Gestation &amp; Lactation",I4="Canine"),sum(( 1.1/1000)*'Unbalanced PMR Recipe'!L6),
if(and(I5="Gestation &amp; Lactation",I4="Feline"),sum(( 0.65/1000)*'Unbalanced PMR Recipe'!L6),""))))))</f>
        <v>0.37</v>
      </c>
      <c r="H11" s="343" t="str">
        <f t="shared" si="1"/>
        <v>g</v>
      </c>
      <c r="I11" s="342">
        <f>if(and(I5="Adult Maintenance",I4="Canine"),sum((0.48/1000)*'Unbalanced PMR Recipe'!L6),if(and(I5="Growth &amp; Development",I4="Canine"),sum((0.63/1000)*'Unbalanced PMR Recipe'!L6),if(and(I5="Adult Maintenance",I4="Feline"),sum((0.65/1000)*'Unbalanced PMR Recipe'!L6),if(and(I5="Growth &amp; Development",I4="Feline"),sum((0.65/1000)*'Unbalanced PMR Recipe'!L6),if(and(I5="Gestation &amp; Lactation",I4="Canine"),sum(( 1.1/1000)*'Unbalanced PMR Recipe'!L6),
if(and(I5="Gestation &amp; Lactation",I4="Feline"),sum(( 0.65/1000)*'Unbalanced PMR Recipe'!L6),""))))))</f>
        <v>0.48</v>
      </c>
      <c r="J11" s="343" t="str">
        <f t="shared" si="2"/>
        <v>g</v>
      </c>
    </row>
    <row r="12">
      <c r="A12" s="330" t="s">
        <v>152</v>
      </c>
      <c r="B12" s="331"/>
      <c r="C12" s="332">
        <f>sum('Unbalanced PMR Recipe Data'!I52)/('Unbalanced PMR Recipe Data'!F21/'Unbalanced PMR Recipe'!L6)</f>
        <v>5.600803481</v>
      </c>
      <c r="D12" s="333" t="s">
        <v>36</v>
      </c>
      <c r="E12" s="334"/>
      <c r="F12" s="334"/>
      <c r="G12" s="335">
        <f>if(and(I5="Adult Maintenance",I4="Canine"),sum((0.75/1000)*'Unbalanced PMR Recipe'!L6),if(and(I5="Growth &amp; Development",I4="Canine"),sum((1/1000)*'Unbalanced PMR Recipe'!L6),if(and(I5="Adult Maintenance",I4="Feline"),sum((1.08/1000)*'Unbalanced PMR Recipe'!L6),if(and(I5="Growth &amp; Development",I4="Feline"),sum((1.08/1000)*'Unbalanced PMR Recipe'!L6),if(and(I5="Gestation &amp; Lactation",I4="Canine"),sum(( 1.78/1000)*'Unbalanced PMR Recipe'!L6),
if(and(I5="Gestation &amp; Lactation",I4="Feline"),sum(( 1.08/1000)*'Unbalanced PMR Recipe'!L6),""))))))</f>
        <v>0.75</v>
      </c>
      <c r="H12" s="336" t="str">
        <f t="shared" si="1"/>
        <v>g</v>
      </c>
      <c r="I12" s="335">
        <f>if(and(I5="Adult Maintenance",I4="Canine"),sum((0.95/1000)*'Unbalanced PMR Recipe'!L6),if(and(I5="Growth &amp; Development",I4="Canine"),sum((1.25/1000)*'Unbalanced PMR Recipe'!L6),if(and(I5="Adult Maintenance",I4="Feline"),sum((1.08/1000)*'Unbalanced PMR Recipe'!L6),if(and(I5="Growth &amp; Development",I4="Feline"),sum((1.08/1000)*'Unbalanced PMR Recipe'!L6),if(and(I5="Gestation &amp; Lactation",I4="Canine"),sum(( 1.78/1000)*'Unbalanced PMR Recipe'!L6),
if(and(I5="Gestation &amp; Lactation",I4="Feline"),sum(( 1.08/1000)*'Unbalanced PMR Recipe'!L6),""))))))</f>
        <v>0.95</v>
      </c>
      <c r="J12" s="336" t="str">
        <f t="shared" si="2"/>
        <v>g</v>
      </c>
    </row>
    <row r="13">
      <c r="A13" s="337" t="s">
        <v>153</v>
      </c>
      <c r="B13" s="338"/>
      <c r="C13" s="339">
        <f>sum('Unbalanced PMR Recipe Data'!I53)/('Unbalanced PMR Recipe Data'!F21/'Unbalanced PMR Recipe'!L6)</f>
        <v>2.995082075</v>
      </c>
      <c r="D13" s="340" t="s">
        <v>36</v>
      </c>
      <c r="E13" s="341"/>
      <c r="F13" s="341"/>
      <c r="G13" s="342">
        <f>if(and(I5="Adult Maintenance",I4="Canine"),sum((0.65/1000)*'Unbalanced PMR Recipe'!L6),if(and(I5="Growth &amp; Development",I4="Canine"),sum((0.53/1000)*'Unbalanced PMR Recipe'!L6),if(and(I5="Adult Maintenance",I4="Feline"),sum((0.34/1000)*'Unbalanced PMR Recipe'!L6),if(and(I5="Growth &amp; Development",I4="Feline"),sum((0.34/1000)*'Unbalanced PMR Recipe'!L6),if(and(I5="Gestation &amp; Lactation",I4="Canine"),sum(( 0.78/1000)*'Unbalanced PMR Recipe'!L6),
if(and(I5="Gestation &amp; Lactation",I4="Feline"),sum((0.34/1000)*'Unbalanced PMR Recipe'!L6),""))))))</f>
        <v>0.65</v>
      </c>
      <c r="H13" s="343" t="str">
        <f t="shared" si="1"/>
        <v>g</v>
      </c>
      <c r="I13" s="342">
        <f>if(and(I5="Adult Maintenance",I4="Canine"),sum((0.83/1000)*'Unbalanced PMR Recipe'!L6),if(and(I5="Growth &amp; Development",I4="Canine"),sum((0.65/1000)*'Unbalanced PMR Recipe'!L6),if(and(I5="Adult Maintenance",I4="Feline"),sum((0.43/1000)*'Unbalanced PMR Recipe'!L6),if(and(I5="Growth &amp; Development",I4="Feline"),sum((0.43/1000)*'Unbalanced PMR Recipe'!L6),if(and(I5="Gestation &amp; Lactation",I4="Canine"),sum(( 0.78/1000)*'Unbalanced PMR Recipe'!L6),
if(and(I5="Gestation &amp; Lactation",I4="Feline"),sum(( 0.43/1000)*'Unbalanced PMR Recipe'!L6),""))))))</f>
        <v>0.83</v>
      </c>
      <c r="J13" s="343" t="str">
        <f t="shared" si="2"/>
        <v>g</v>
      </c>
    </row>
    <row r="14">
      <c r="A14" s="330" t="s">
        <v>154</v>
      </c>
      <c r="B14" s="331"/>
      <c r="C14" s="332">
        <f>sum('Unbalanced PMR Recipe Data'!I55)/('Unbalanced PMR Recipe Data'!F21/'Unbalanced PMR Recipe'!L6)</f>
        <v>4.732229679</v>
      </c>
      <c r="D14" s="333" t="s">
        <v>36</v>
      </c>
      <c r="E14" s="334"/>
      <c r="F14" s="334"/>
      <c r="G14" s="335">
        <f>if(and(I5="Adult Maintenance",I4="Canine"),sum((1.3/1000)*'Unbalanced PMR Recipe'!L6),if(and(I5="Growth &amp; Development",I4="Canine"),sum((1.05/1000)*'Unbalanced PMR Recipe'!L6),if(and(I5="Adult Maintenance",I4="Feline"),sum((0.68/1000)*'Unbalanced PMR Recipe'!L6),if(and(I5="Growth &amp; Development",I4="Feline"),sum((0.68/1000)*'Unbalanced PMR Recipe'!L6),if(and(I5="Gestation &amp; Lactation",I4="Canine"),sum(( 1.55/1000)*'Unbalanced PMR Recipe'!L6),
if(and(I5="Gestation &amp; Lactation",I4="Feline"),sum((0.68/1000)*'Unbalanced PMR Recipe'!L6),""))))))</f>
        <v>1.3</v>
      </c>
      <c r="H14" s="336" t="str">
        <f t="shared" si="1"/>
        <v>g</v>
      </c>
      <c r="I14" s="335">
        <f>if(and(I5="Adult Maintenance",I4="Canine"),sum((1.63/1000)*'Unbalanced PMR Recipe'!L6),if(and(I5="Growth &amp; Development",I4="Canine"),sum((1.33/1000)*'Unbalanced PMR Recipe'!L6),if(and(I5="Adult Maintenance",I4="Feline"),sum((0.85/1000)*'Unbalanced PMR Recipe'!L6),if(and(I5="Growth &amp; Development",I4="Feline"),sum((0.85/1000)*'Unbalanced PMR Recipe'!L6),if(and(I5="Gestation &amp; Lactation",I4="Canine"),sum(( 1.55/1000)*'Unbalanced PMR Recipe'!L6),
if(and(I5="Gestation &amp; Lactation",I4="Feline"),sum(( 0.85/1000)*'Unbalanced PMR Recipe'!L6),""))))))</f>
        <v>1.63</v>
      </c>
      <c r="J14" s="336" t="str">
        <f t="shared" si="2"/>
        <v>g</v>
      </c>
    </row>
    <row r="15">
      <c r="A15" s="337" t="s">
        <v>155</v>
      </c>
      <c r="B15" s="338"/>
      <c r="C15" s="339">
        <f>sum('Unbalanced PMR Recipe Data'!I56)/('Unbalanced PMR Recipe Data'!F21/'Unbalanced PMR Recipe'!L6)</f>
        <v>10.75234465</v>
      </c>
      <c r="D15" s="340" t="s">
        <v>36</v>
      </c>
      <c r="E15" s="341"/>
      <c r="F15" s="341"/>
      <c r="G15" s="342">
        <f>if(and(I5="Adult Maintenance",I4="Canine"),sum((1.35/1000)*'Unbalanced PMR Recipe'!L6),if(and(I5="Growth &amp; Development",I4="Canine"),sum((1.63/1000)*'Unbalanced PMR Recipe'!L6),if(and(I5="Adult Maintenance",I4="Feline"),sum((2.55/1000)*'Unbalanced PMR Recipe'!L6),if(and(I5="Growth &amp; Development",I4="Feline"),sum((2.55/1000)*'Unbalanced PMR Recipe'!L6),if(and(I5="Gestation &amp; Lactation",I4="Canine"),sum((5/1000)*'Unbalanced PMR Recipe'!L6),
if(and(I5="Gestation &amp; Lactation",I4="Feline"),sum((2.55/1000)*'Unbalanced PMR Recipe'!L6),""))))))</f>
        <v>1.35</v>
      </c>
      <c r="H15" s="343" t="str">
        <f t="shared" si="1"/>
        <v>g</v>
      </c>
      <c r="I15" s="342">
        <f>if(and(I5="Adult Maintenance",I4="Canine"),sum((1.7/1000)*'Unbalanced PMR Recipe'!L6),if(and(I5="Growth &amp; Development",I4="Canine"),sum((2.05/1000)*'Unbalanced PMR Recipe'!L6),if(and(I5="Adult Maintenance",I4="Feline"),sum((2.55/1000)*'Unbalanced PMR Recipe'!L6),if(and(I5="Growth &amp; Development",I4="Feline"),sum((2.55/1000)*'Unbalanced PMR Recipe'!L6),if(and(I5="Gestation &amp; Lactation",I4="Canine"),sum(( 5/1000)*'Unbalanced PMR Recipe'!L6),
if(and(I5="Gestation &amp; Lactation",I4="Feline"),sum(( 2.55/1000)*'Unbalanced PMR Recipe'!L6),""))))))</f>
        <v>1.7</v>
      </c>
      <c r="J15" s="343" t="str">
        <f t="shared" si="2"/>
        <v>g</v>
      </c>
    </row>
    <row r="16">
      <c r="A16" s="330" t="s">
        <v>156</v>
      </c>
      <c r="B16" s="331"/>
      <c r="C16" s="332">
        <f>sum('Unbalanced PMR Recipe Data'!I57)/('Unbalanced PMR Recipe Data'!F21/'Unbalanced PMR Recipe'!L6)</f>
        <v>11.77067256</v>
      </c>
      <c r="D16" s="333" t="s">
        <v>36</v>
      </c>
      <c r="E16" s="334"/>
      <c r="F16" s="334"/>
      <c r="G16" s="335">
        <f>if(and(I5="Adult Maintenance",I4="Canine"),sum((0.7/1000)*'Unbalanced PMR Recipe'!L6),if(and(I5="Growth &amp; Development",I4="Canine"),sum((1.4/1000)*'Unbalanced PMR Recipe'!L6),if(and(I5="Adult Maintenance",I4="Feline"),sum((0.68/1000)*'Unbalanced PMR Recipe'!L6),if(and(I5="Growth &amp; Development",I4="Feline"),sum((0.68/1000)*'Unbalanced PMR Recipe'!L6),if(and(I5="Gestation &amp; Lactation",I4="Canine"),sum(( 2.25/1000)*'Unbalanced PMR Recipe'!L6),
if(and(I5="Gestation &amp; Lactation",I4="Feline"),sum((0.68/1000)*'Unbalanced PMR Recipe'!L6),""))))))</f>
        <v>0.7</v>
      </c>
      <c r="H16" s="336" t="str">
        <f t="shared" si="1"/>
        <v>g</v>
      </c>
      <c r="I16" s="335">
        <f>if(and(I5="Adult Maintenance",I4="Canine"),sum((0.88/1000)*'Unbalanced PMR Recipe'!L6),if(and(I5="Growth &amp; Development",I4="Canine"),sum((1.75/1000)*'Unbalanced PMR Recipe'!L6),if(and(I5="Adult Maintenance",I4="Feline"),sum((0.85/1000)*'Unbalanced PMR Recipe'!L6),if(and(I5="Growth &amp; Development",I4="Feline"),sum((0.85/1000)*'Unbalanced PMR Recipe'!L6),if(and(I5="Gestation &amp; Lactation",I4="Canine"),sum(( 2.25/1000)*'Unbalanced PMR Recipe'!L6),
if(and(I5="Gestation &amp; Lactation",I4="Feline"),sum(( 0.85/1000)*'Unbalanced PMR Recipe'!L6),""))))))</f>
        <v>0.88</v>
      </c>
      <c r="J16" s="336" t="str">
        <f t="shared" si="2"/>
        <v>g</v>
      </c>
    </row>
    <row r="17">
      <c r="A17" s="337" t="s">
        <v>157</v>
      </c>
      <c r="B17" s="338"/>
      <c r="C17" s="339">
        <f>sum('Unbalanced PMR Recipe Data'!I58)/('Unbalanced PMR Recipe Data'!F21/'Unbalanced PMR Recipe'!L6)</f>
        <v>5.610787088</v>
      </c>
      <c r="D17" s="340" t="s">
        <v>36</v>
      </c>
      <c r="E17" s="341"/>
      <c r="F17" s="341"/>
      <c r="G17" s="342">
        <f>if(and(I5="Adult Maintenance",I4="Canine"),sum((0.9/1000)*'Unbalanced PMR Recipe'!L6),if(and(I5="Growth &amp; Development",I4="Canine"),sum((1/1000)*'Unbalanced PMR Recipe'!L6),if(and(I5="Adult Maintenance",I4="Feline"),sum((1/1000)*'Unbalanced PMR Recipe'!L6),if(and(I5="Growth &amp; Development",I4="Feline"),sum((1/1000)*'Unbalanced PMR Recipe'!L6),if(and(I5="Gestation &amp; Lactation",I4="Canine"),sum(( 2.08/1000)*'Unbalanced PMR Recipe'!L6),
if(and(I5="Gestation &amp; Lactation",I4="Feline"),sum(( 1/1000)*'Unbalanced PMR Recipe'!L6),""))))))</f>
        <v>0.9</v>
      </c>
      <c r="H17" s="343" t="str">
        <f t="shared" si="1"/>
        <v>g</v>
      </c>
      <c r="I17" s="342">
        <f>if(and(I5="Adult Maintenance",I4="Canine"),sum((1.13/1000)*'Unbalanced PMR Recipe'!L6),if(and(I5="Growth &amp; Development",I4="Canine"),sum((1.25/1000)*'Unbalanced PMR Recipe'!L6),if(and(I5="Adult Maintenance",I4="Feline"),sum((1/1000)*'Unbalanced PMR Recipe'!L6),if(and(I5="Growth &amp; Development",I4="Feline"),sum((1/1000)*'Unbalanced PMR Recipe'!L6),if(and(I5="Gestation &amp; Lactation",I4="Canine"),sum(( 2.08/1000)*'Unbalanced PMR Recipe'!L6),
if(and(I5="Gestation &amp; Lactation",I4="Feline"),sum(( 1/1000)*'Unbalanced PMR Recipe'!L6),""))))))</f>
        <v>1.13</v>
      </c>
      <c r="J17" s="343" t="str">
        <f t="shared" si="2"/>
        <v>g</v>
      </c>
    </row>
    <row r="18">
      <c r="A18" s="330" t="s">
        <v>158</v>
      </c>
      <c r="B18" s="331"/>
      <c r="C18" s="332">
        <f>sum('Unbalanced PMR Recipe Data'!I60)/('Unbalanced PMR Recipe Data'!F21/'Unbalanced PMR Recipe'!L6)</f>
        <v>10.45283644</v>
      </c>
      <c r="D18" s="333" t="s">
        <v>36</v>
      </c>
      <c r="E18" s="334"/>
      <c r="F18" s="334"/>
      <c r="G18" s="335">
        <f>if(and(I5="Adult Maintenance",I4="Canine"),sum((1.48/1000)*'Unbalanced PMR Recipe'!L6),if(and(I5="Growth &amp; Development",I4="Canine"),sum((2/1000)*'Unbalanced PMR Recipe'!L6),if(and(I5="Adult Maintenance",I4="Feline"),sum((3.83/1000)*'Unbalanced PMR Recipe'!L6),if(and(I5="Growth &amp; Development",I4="Feline"),sum((3.83/1000)*'Unbalanced PMR Recipe'!L6),if(and(I5="Gestation &amp; Lactation",I4="Canine"),sum(( 3.08/1000)*'Unbalanced PMR Recipe'!L6),
if(and(I5="Gestation &amp; Lactation",I4="Feline"),sum(( 3.83/1000)*'Unbalanced PMR Recipe'!L6),""))))))</f>
        <v>1.48</v>
      </c>
      <c r="H18" s="336" t="str">
        <f t="shared" si="1"/>
        <v>g</v>
      </c>
      <c r="I18" s="335">
        <f>if(and(I5="Adult Maintenance",I4="Canine"),sum((1.85/1000)*'Unbalanced PMR Recipe'!L6),if(and(I5="Growth &amp; Development",I4="Canine"),sum((2.5/1000)*'Unbalanced PMR Recipe'!L6),if(and(I5="Adult Maintenance",I4="Feline"),sum((3.83/1000)*'Unbalanced PMR Recipe'!L6),if(and(I5="Growth &amp; Development",I4="Feline"),sum((3.83/1000)*'Unbalanced PMR Recipe'!L6),if(and(I5="Gestation &amp; Lactation",I4="Canine"),sum(( 3.08/1000)*'Unbalanced PMR Recipe'!L6),
if(and(I5="Gestation &amp; Lactation",I4="Feline"),sum(( 3.83/1000)*'Unbalanced PMR Recipe'!L6),""))))))</f>
        <v>1.85</v>
      </c>
      <c r="J18" s="336" t="str">
        <f t="shared" si="2"/>
        <v>g</v>
      </c>
    </row>
    <row r="19">
      <c r="A19" s="337" t="s">
        <v>159</v>
      </c>
      <c r="B19" s="338"/>
      <c r="C19" s="339">
        <f>sum('Unbalanced PMR Recipe Data'!I61)/('Unbalanced PMR Recipe Data'!F21/'Unbalanced PMR Recipe'!L6)</f>
        <v>5.870360867</v>
      </c>
      <c r="D19" s="340" t="s">
        <v>36</v>
      </c>
      <c r="E19" s="341"/>
      <c r="F19" s="341"/>
      <c r="G19" s="342">
        <f>if(and(I5="Adult Maintenance",I4="Canine"),sum((0.85/1000)*'Unbalanced PMR Recipe'!L6),if(and(I5="Growth &amp; Development",I4="Canine"),sum((1.25/1000)*'Unbalanced PMR Recipe'!L6),if(and(I5="Adult Maintenance",I4="Feline"),sum((1.3/1000)*'Unbalanced PMR Recipe'!L6),if(and(I5="Growth &amp; Development",I4="Feline"),sum((1.3/1000)*'Unbalanced PMR Recipe'!L6),if(and(I5="Gestation &amp; Lactation",I4="Canine"),sum(( 2.6/1000)*'Unbalanced PMR Recipe'!L6),
if(and(I5="Gestation &amp; Lactation",I4="Feline"),sum(( 1.3/1000)*'Unbalanced PMR Recipe'!L6),""))))))</f>
        <v>0.85</v>
      </c>
      <c r="H19" s="343" t="str">
        <f t="shared" si="1"/>
        <v>g</v>
      </c>
      <c r="I19" s="342">
        <f>if(and(I5="Adult Maintenance",I4="Canine"),sum((1.08/1000)*'Unbalanced PMR Recipe'!L6),if(and(I5="Growth &amp; Development",I4="Canine"),sum((1.58/1000)*'Unbalanced PMR Recipe'!L6),if(and(I5="Adult Maintenance",I4="Feline"),sum((1.3/1000)*'Unbalanced PMR Recipe'!L6),if(and(I5="Growth &amp; Development",I4="Feline"),sum((1.3/1000)*'Unbalanced PMR Recipe'!L6),if(and(I5="Gestation &amp; Lactation",I4="Canine"),sum(( 2.6/1000)*'Unbalanced PMR Recipe'!L6),
if(and(I5="Gestation &amp; Lactation",I4="Feline"),sum(( 1.3/1000)*'Unbalanced PMR Recipe'!L6),""))))))</f>
        <v>1.08</v>
      </c>
      <c r="J19" s="343" t="str">
        <f t="shared" si="2"/>
        <v>g</v>
      </c>
    </row>
    <row r="20">
      <c r="A20" s="330" t="s">
        <v>160</v>
      </c>
      <c r="B20" s="331"/>
      <c r="C20" s="332">
        <f>sum('Unbalanced PMR Recipe Data'!I62)/('Unbalanced PMR Recipe Data'!F21/'Unbalanced PMR Recipe'!L6)</f>
        <v>1.747131211</v>
      </c>
      <c r="D20" s="333" t="s">
        <v>36</v>
      </c>
      <c r="E20" s="334"/>
      <c r="F20" s="334"/>
      <c r="G20" s="335">
        <f>if(and(I5="Adult Maintenance",I4="Canine"),sum((0.28/1000)*'Unbalanced PMR Recipe'!L6),if(and(I5="Growth &amp; Development",I4="Canine"),sum((0.35/1000)*'Unbalanced PMR Recipe'!L6),if(and(I5="Adult Maintenance",I4="Feline"),sum((0.33/1000)*'Unbalanced PMR Recipe'!L6),if(and(I5="Growth &amp; Development",I4="Feline"),sum((0.33/1000)*'Unbalanced PMR Recipe'!L6),if(and(I5="Gestation &amp; Lactation",I4="Canine"),sum(( 0.3/1000)*'Unbalanced PMR Recipe'!L6),
if(and(I5="Gestation &amp; Lactation",I4="Feline"),sum(( 0.33/1000)*'Unbalanced PMR Recipe'!L6),""))))))</f>
        <v>0.28</v>
      </c>
      <c r="H20" s="336" t="str">
        <f t="shared" si="1"/>
        <v>g</v>
      </c>
      <c r="I20" s="335">
        <f>if(and(I5="Adult Maintenance",I4="Canine"),sum((0.35/1000)*'Unbalanced PMR Recipe'!L6),if(and(I5="Growth &amp; Development",I4="Canine"),sum((0.45/1000)*'Unbalanced PMR Recipe'!L6),if(and(I5="Adult Maintenance",I4="Feline"),sum((0.33/1000)*'Unbalanced PMR Recipe'!L6),if(and(I5="Growth &amp; Development",I4="Feline"),sum((0.33/1000)*'Unbalanced PMR Recipe'!L6),if(and(I5="Gestation &amp; Lactation",I4="Canine"),sum(( 0.3/1000)*'Unbalanced PMR Recipe'!L6),
if(and(I5="Gestation &amp; Lactation",I4="Feline"),sum(( 0.33/1000)*'Unbalanced PMR Recipe'!L6),""))))))</f>
        <v>0.35</v>
      </c>
      <c r="J20" s="336" t="str">
        <f t="shared" si="2"/>
        <v>g</v>
      </c>
    </row>
    <row r="21">
      <c r="A21" s="344" t="s">
        <v>161</v>
      </c>
      <c r="B21" s="345"/>
      <c r="C21" s="339">
        <f>sum('Unbalanced PMR Recipe Data'!I63)/('Unbalanced PMR Recipe Data'!F21/'Unbalanced PMR Recipe'!L6)</f>
        <v>6.299655965</v>
      </c>
      <c r="D21" s="340" t="s">
        <v>36</v>
      </c>
      <c r="E21" s="341"/>
      <c r="F21" s="341"/>
      <c r="G21" s="342">
        <f>if(and(I5="Adult Maintenance",I4="Canine"),sum((0.98/1000)*'Unbalanced PMR Recipe'!L6),if(and(I5="Growth &amp; Development",I4="Canine"),sum((1.13/1000)*'Unbalanced PMR Recipe'!L6),if(and(I5="Adult Maintenance",I4="Feline"),sum((1.28/1000)*'Unbalanced PMR Recipe'!L6),if(and(I5="Growth &amp; Development",I4="Feline"),sum((1.28/1000)*'Unbalanced PMR Recipe'!L6),if(and(I5="Gestation &amp; Lactation",I4="Canine"),sum(( 3.25/1000)*'Unbalanced PMR Recipe'!L6),
if(and(I5="Gestation &amp; Lactation",I4="Feline"),sum(( 1.28/1000)*'Unbalanced PMR Recipe'!L6),""))))))</f>
        <v>0.98</v>
      </c>
      <c r="H21" s="343" t="str">
        <f t="shared" si="1"/>
        <v>g</v>
      </c>
      <c r="I21" s="342">
        <f>if(and(I5="Adult Maintenance",I4="Canine"),sum((1.23/1000)*'Unbalanced PMR Recipe'!L6),if(and(I5="Growth &amp; Development",I4="Canine"),sum((1.4/1000)*'Unbalanced PMR Recipe'!L6),if(and(I5="Adult Maintenance",I4="Feline"),sum((1.28/1000)*'Unbalanced PMR Recipe'!L6),if(and(I5="Growth &amp; Development",I4="Feline"),sum((1.28/1000)*'Unbalanced PMR Recipe'!L6),if(and(I5="Gestation &amp; Lactation",I4="Canine"),sum(( 3.25/1000)*'Unbalanced PMR Recipe'!L6),
if(and(I5="Gestation &amp; Lactation",I4="Feline"),sum(( 1.28/1000)*'Unbalanced PMR Recipe'!L6),""))))))</f>
        <v>1.23</v>
      </c>
      <c r="J21" s="343" t="str">
        <f t="shared" si="2"/>
        <v>g</v>
      </c>
    </row>
    <row r="22">
      <c r="A22" s="346" t="s">
        <v>162</v>
      </c>
      <c r="B22" s="347"/>
      <c r="C22" s="348">
        <f>sum('Unbalanced PMR Recipe Data'!I66)/('Unbalanced PMR Recipe Data'!F21/'Unbalanced PMR Recipe'!L6)</f>
        <v>0</v>
      </c>
      <c r="D22" s="349" t="s">
        <v>36</v>
      </c>
      <c r="E22" s="350"/>
      <c r="F22" s="350"/>
      <c r="G22" s="351">
        <f>if(and(I5="Adult Maintenance",I4="Feline"),sum((0.08/1000)*'Unbalanced PMR Recipe'!L6),if(and(I5="Growth &amp; Development",I4="Feline"),sum((0.1/1000)*'Unbalanced PMR Recipe'!L6),if(and(I5="Gestation &amp; Lactation",I4="Feline"),sum((0.08/1000)*'Unbalanced PMR Recipe'!L6),0)))</f>
        <v>0</v>
      </c>
      <c r="H22" s="352" t="str">
        <f t="shared" si="1"/>
        <v>g</v>
      </c>
      <c r="I22" s="351">
        <f>if(and(I5="Adult Maintenance",I4="Feline"),sum((0.1/1000)*'Unbalanced PMR Recipe'!L6),if(and(I5="Growth &amp; Development",I4="Feline"),sum((0.1/1000)*'Unbalanced PMR Recipe'!L6),if(and(I5="Gestation &amp; Lactation",I4="Feline"),sum((0.1/1000)*'Unbalanced PMR Recipe'!L6),0)))</f>
        <v>0</v>
      </c>
      <c r="J22" s="352" t="str">
        <f t="shared" si="2"/>
        <v>g</v>
      </c>
    </row>
    <row r="23">
      <c r="A23" s="317" t="s">
        <v>163</v>
      </c>
      <c r="B23" s="318"/>
      <c r="C23" s="353" t="s">
        <v>146</v>
      </c>
      <c r="D23" s="320"/>
      <c r="E23" s="354"/>
      <c r="F23" s="354"/>
      <c r="G23" s="353" t="s">
        <v>147</v>
      </c>
      <c r="H23" s="320"/>
      <c r="I23" s="353" t="s">
        <v>148</v>
      </c>
      <c r="J23" s="323"/>
    </row>
    <row r="24">
      <c r="A24" s="355" t="s">
        <v>164</v>
      </c>
      <c r="B24" s="356"/>
      <c r="C24" s="326">
        <f>sum('Unbalanced PMR Recipe Data'!F23)/('Unbalanced PMR Recipe Data'!F21/'Unbalanced PMR Recipe'!L6)</f>
        <v>47.4540804</v>
      </c>
      <c r="D24" s="327" t="s">
        <v>36</v>
      </c>
      <c r="E24" s="328"/>
      <c r="F24" s="328"/>
      <c r="G24" s="329">
        <f>if(and(I5="Adult Maintenance",I4="Canine"),sum((10/1000)*'Unbalanced PMR Recipe'!L6),if(and(I5="Growth &amp; Development",I4="Canine"),sum((21.3/1000)*'Unbalanced PMR Recipe'!L6),if(and(I5="Adult Maintenance",I4="Feline"),sum((22.5/1000)*'Unbalanced PMR Recipe'!L6),if(and(I5="Growth &amp; Development",I4="Feline"),sum((22.5/1000)*'Unbalanced PMR Recipe'!L6),
if(and(I5="Gestation &amp; Lactation",I4="Canine"),sum(( 21.3/1000)*'Unbalanced PMR Recipe'!L6),
if(and(I5="Gestation &amp; Lactation",I4="Feline"),sum(( 22.5/1000)*'Unbalanced PMR Recipe'!L6),""))))))</f>
        <v>10</v>
      </c>
      <c r="H24" s="329" t="str">
        <f t="shared" ref="H24:H28" si="3">D24</f>
        <v>g</v>
      </c>
      <c r="I24" s="329">
        <f>if(and(I5="Adult Maintenance",I4="Canine"),sum((13.8/1000)*'Unbalanced PMR Recipe'!L6),if(and(I5="Growth &amp; Development",I4="Canine"),sum((21.3/1000)*'Unbalanced PMR Recipe'!L6),if(and(I5="Adult Maintenance",I4="Feline"),sum((22.5/1000)*'Unbalanced PMR Recipe'!L6),if(and(I5="Growth &amp; Development",I4="Feline"),sum((22.5/1000)*'Unbalanced PMR Recipe'!L6),
if(and(I5="Gestation &amp; Lactation",I4="Canine"),sum(( 21.3/1000)*'Unbalanced PMR Recipe'!L6),
if(and(I5="Gestation &amp; Lactation",I4="Feline"),sum(( 22.5/1000)*'Unbalanced PMR Recipe'!L6),""))))))</f>
        <v>13.8</v>
      </c>
      <c r="J24" s="329" t="str">
        <f t="shared" ref="J24:J28" si="4">H24</f>
        <v>g</v>
      </c>
    </row>
    <row r="25">
      <c r="A25" s="357" t="s">
        <v>165</v>
      </c>
      <c r="B25" s="358"/>
      <c r="C25" s="359">
        <f>sum('Unbalanced PMR Recipe Data'!I69)/('Unbalanced PMR Recipe Data'!F21/'Unbalanced PMR Recipe'!L6)</f>
        <v>9.045147867</v>
      </c>
      <c r="D25" s="333" t="s">
        <v>36</v>
      </c>
      <c r="E25" s="360"/>
      <c r="F25" s="360"/>
      <c r="G25" s="336">
        <f>if(and(I5="Adult Maintenance",I4="Canine"),sum((2.4/1000)*'Unbalanced PMR Recipe'!L6),if(and(I5="Growth &amp; Development",I4="Canine"),sum((3/1000)*'Unbalanced PMR Recipe'!L6),if(and(I5="Adult Maintenance",I4="Feline"),sum((1.4/1000)*'Unbalanced PMR Recipe'!L6),if(and(I5="Growth &amp; Development",I4="Feline"),sum((1.4/1000)*'Unbalanced PMR Recipe'!L6),
if(and(I5="Gestation &amp; Lactation",I4="Canine"),sum(( 2.8/1000)*'Unbalanced PMR Recipe'!L6),
if(and(I5="Gestation &amp; Lactation",I4="Feline"),sum(( 1.4/1000)*'Unbalanced PMR Recipe'!L6),""))))))</f>
        <v>2.4</v>
      </c>
      <c r="H25" s="336" t="str">
        <f t="shared" si="3"/>
        <v>g</v>
      </c>
      <c r="I25" s="336">
        <f>if(and(I5="Adult Maintenance",I4="Canine"),sum((2.8/1000)*'Unbalanced PMR Recipe'!L6),if(and(I5="Growth &amp; Development",I4="Canine"),sum((3.3/1000)*'Unbalanced PMR Recipe'!L6),if(and(I5="Adult Maintenance",I4="Feline"),sum((1.4/1000)*'Unbalanced PMR Recipe'!L6),if(and(I5="Growth &amp; Development",I4="Feline"),sum((1.4/1000)*'Unbalanced PMR Recipe'!L6),
if(and(I5="Gestation &amp; Lactation",I4="Canine"),sum(( 3.3/1000)*'Unbalanced PMR Recipe'!L6),
if(and(I5="Gestation &amp; Lactation",I4="Feline"),sum(( 1.4/1000)*'Unbalanced PMR Recipe'!L6),""))))))</f>
        <v>2.8</v>
      </c>
      <c r="J25" s="336" t="str">
        <f t="shared" si="4"/>
        <v>g</v>
      </c>
    </row>
    <row r="26">
      <c r="A26" s="361" t="s">
        <v>166</v>
      </c>
      <c r="B26" s="362"/>
      <c r="C26" s="363">
        <f>sum('Unbalanced PMR Recipe Data'!I70)/('Unbalanced PMR Recipe Data'!F21/'Unbalanced PMR Recipe'!L6)</f>
        <v>0.2595737799</v>
      </c>
      <c r="D26" s="340" t="s">
        <v>36</v>
      </c>
      <c r="E26" s="364"/>
      <c r="F26" s="364"/>
      <c r="G26" s="343">
        <f>if(and(I5="Adult Maintenance",I4="Canine"),sum((0.09/1000)*'Unbalanced PMR Recipe'!L6),if(and(I5="Growth &amp; Development",I4="Canine"),sum((0.18/1000)*'Unbalanced PMR Recipe'!L6),if(and(I5="Adult Maintenance",I4="Feline"),sum((0/1000)*'Unbalanced PMR Recipe'!L6),if(and(I5="Growth &amp; Development",I4="Feline"),sum((0/1000)*'Unbalanced PMR Recipe'!L6),
if(and(I5="Gestation &amp; Lactation",I4="Canine"),sum(( 0.18/1000)*'Unbalanced PMR Recipe'!L6),
if(and(I5="Gestation &amp; Lactation",I4="Feline"),sum(( 0/1000)*'Unbalanced PMR Recipe'!L6),""))))))</f>
        <v>0.09</v>
      </c>
      <c r="H26" s="343" t="str">
        <f t="shared" si="3"/>
        <v>g</v>
      </c>
      <c r="I26" s="343">
        <f>if(and(I5="Adult Maintenance",I4="Canine"),sum((0.11/1000)*'Unbalanced PMR Recipe'!L6),if(and(I5="Growth &amp; Development",I4="Canine"),sum((0.2/1000)*'Unbalanced PMR Recipe'!L6),if(and(I5="Adult Maintenance",I4="Feline"),sum((0/1000)*'Unbalanced PMR Recipe'!L6),if(and(I5="Growth &amp; Development",I4="Feline"),sum((0/1000)*'Unbalanced PMR Recipe'!L6),
if(and(I5="Gestation &amp; Lactation",I4="Canine"),sum(( 1.2/1000)*'Unbalanced PMR Recipe'!L6),
if(and(I5="Gestation &amp; Lactation",I4="Feline"),sum(( 0/1000)*'Unbalanced PMR Recipe'!L6),""))))))</f>
        <v>0.11</v>
      </c>
      <c r="J26" s="343" t="str">
        <f t="shared" si="4"/>
        <v>g</v>
      </c>
    </row>
    <row r="27">
      <c r="A27" s="357" t="s">
        <v>167</v>
      </c>
      <c r="B27" s="358"/>
      <c r="C27" s="359">
        <f>sum('Unbalanced PMR Recipe Data'!I71)/('Unbalanced PMR Recipe Data'!F21/'Unbalanced PMR Recipe'!L6)</f>
        <v>0.9584262641</v>
      </c>
      <c r="D27" s="333" t="s">
        <v>36</v>
      </c>
      <c r="E27" s="360"/>
      <c r="F27" s="360"/>
      <c r="G27" s="336">
        <f>if(and(I5="Adult Maintenance",I4="Canine"),sum((0/1000)*'Unbalanced PMR Recipe'!L6),if(and(I5="Growth &amp; Development",I4="Canine"),sum((0.08/1000)*'Unbalanced PMR Recipe'!L6),if(and(I5="Adult Maintenance",I4="Feline"),sum((0/1000)*'Unbalanced PMR Recipe'!L6),if(and(I5="Growth &amp; Development",I4="Feline"),sum((0/1000)*'Unbalanced PMR Recipe'!L6),
if(and(I5="Gestation &amp; Lactation",I4="Canine"),sum(( 0/1000)*'Unbalanced PMR Recipe'!L6),
if(and(I5="Gestation &amp; Lactation",I4="Feline"),sum(( 0.005/1000)*'Unbalanced PMR Recipe'!L6),""))))))</f>
        <v>0</v>
      </c>
      <c r="H27" s="336" t="str">
        <f t="shared" si="3"/>
        <v>g</v>
      </c>
      <c r="I27" s="336">
        <f>if(and(I5="Adult Maintenance",I4="Canine"),sum((0/1000)*'Unbalanced PMR Recipe'!L6),if(and(I5="Growth &amp; Development",I4="Canine"),sum((0.08/1000)*'Unbalanced PMR Recipe'!L6),if(and(I5="Adult Maintenance",I4="Feline"),sum((0.015/1000)*'Unbalanced PMR Recipe'!L6),if(and(I5="Growth &amp; Development",I4="Feline"),sum((0.015/1000)*'Unbalanced PMR Recipe'!L6),
if(and(I5="Gestation &amp; Lactation",I4="Canine"),sum(( 0/1000)*'Unbalanced PMR Recipe'!L6),
if(and(I5="Gestation &amp; Lactation",I4="Feline"),sum(( 0.015/1000)*'Unbalanced PMR Recipe'!L6),""))))))</f>
        <v>0</v>
      </c>
      <c r="J27" s="336" t="str">
        <f t="shared" si="4"/>
        <v>g</v>
      </c>
    </row>
    <row r="28">
      <c r="A28" s="365" t="s">
        <v>168</v>
      </c>
      <c r="B28" s="366"/>
      <c r="C28" s="367">
        <f>sum('Unbalanced PMR Recipe Data'!I77)/('Unbalanced PMR Recipe Data'!F21/'Unbalanced PMR Recipe'!L6)</f>
        <v>0.08985246226</v>
      </c>
      <c r="D28" s="368" t="s">
        <v>36</v>
      </c>
      <c r="E28" s="369"/>
      <c r="F28" s="369"/>
      <c r="G28" s="370">
        <f>if(and(I5="Adult Maintenance",I4="Canine"),sum((0.11/1000)*'Unbalanced PMR Recipe'!L6),if(and(I5="Growth &amp; Development",I4="Canine"),sum((13/1000)*'Unbalanced PMR Recipe'!L6),if(and(I5="Adult Maintenance",I4="Feline"),sum((0/1000)*'Unbalanced PMR Recipe'!L6),if(and(I5="Growth &amp; Development",I4="Feline"),sum((0/1000)*'Unbalanced PMR Recipe'!L6),
if(and(I5="Gestation &amp; Lactation",I4="Canine"),sum(( 0.13/1000)*'Unbalanced PMR Recipe'!L6),
if(and(I5="Gestation &amp; Lactation",I4="Feline"),sum(( 0.025/1000)*'Unbalanced PMR Recipe'!L6),""))))))</f>
        <v>0.11</v>
      </c>
      <c r="H28" s="370" t="str">
        <f t="shared" si="3"/>
        <v>g</v>
      </c>
      <c r="I28" s="370">
        <f>if(and(I5="Adult Maintenance",I4="Canine"),sum((0.11/1000)*'Unbalanced PMR Recipe'!L6),if(and(I5="Growth &amp; Development",I4="Canine"),sum((0.13/1000)*'Unbalanced PMR Recipe'!L6),if(and(I5="Adult Maintenance",I4="Feline"),sum((0.025/1000)*'Unbalanced PMR Recipe'!L6),if(and(I5="Growth &amp; Development",I4="Feline"),sum((0.025/1000)*'Unbalanced PMR Recipe'!L6),
if(and(I5="Gestation &amp; Lactation",I4="Canine"),sum(( 0.13/1000)*'Unbalanced PMR Recipe'!L6),
if(and(I5="Gestation &amp; Lactation",I4="Feline"),sum(( 0.025/1000)*'Unbalanced PMR Recipe'!L6),""))))))</f>
        <v>0.11</v>
      </c>
      <c r="J28" s="370" t="str">
        <f t="shared" si="4"/>
        <v>g</v>
      </c>
    </row>
    <row r="29">
      <c r="A29" s="317" t="s">
        <v>169</v>
      </c>
      <c r="B29" s="318"/>
      <c r="C29" s="353" t="s">
        <v>146</v>
      </c>
      <c r="D29" s="320"/>
      <c r="E29" s="354"/>
      <c r="F29" s="354"/>
      <c r="G29" s="353" t="s">
        <v>147</v>
      </c>
      <c r="H29" s="320"/>
      <c r="I29" s="353" t="s">
        <v>148</v>
      </c>
      <c r="J29" s="323"/>
    </row>
    <row r="30">
      <c r="A30" s="355" t="s">
        <v>170</v>
      </c>
      <c r="B30" s="356"/>
      <c r="C30" s="326">
        <f>sum('Unbalanced PMR Recipe Data'!U50)/('Unbalanced PMR Recipe Data'!F21/'Unbalanced PMR Recipe'!L6)</f>
        <v>10637.90256</v>
      </c>
      <c r="D30" s="327" t="s">
        <v>11</v>
      </c>
      <c r="E30" s="328"/>
      <c r="F30" s="328"/>
      <c r="G30" s="329">
        <f>if(and(I5="Adult Maintenance",I4="Canine"),sum((303/1000)*'Unbalanced PMR Recipe'!L6),if(and(I5="Growth &amp; Development",I4="Canine"),sum((330/1000)*'Unbalanced PMR Recipe'!L6),if(and(I5="Adult Maintenance",I4="Feline"),sum((250/1000)*'Unbalanced PMR Recipe'!L6),if(and(I5="Growth &amp; Development",I4="Feline"),sum((250/1000)*'Unbalanced PMR Recipe'!L6),
if(and(I5="Gestation &amp; Lactation",I4="Canine"),sum(( 303/1000)*'Unbalanced PMR Recipe'!L6),
if(and(I5="Gestation &amp; Lactation",I4="Feline"),sum(( 200/1000)*'Unbalanced PMR Recipe'!L6),""))))))</f>
        <v>303</v>
      </c>
      <c r="H30" s="329" t="str">
        <f t="shared" ref="H30:H41" si="5">D30</f>
        <v>mcg</v>
      </c>
      <c r="I30" s="329">
        <f>if(and(I5="Adult Maintenance",I4="Canine"),sum((379/1000)*'Unbalanced PMR Recipe'!L6),if(and(I5="Growth &amp; Development",I4="Canine"),sum((379/1000)*'Unbalanced PMR Recipe'!L6),if(and(I5="Adult Maintenance",I4="Feline"),sum((250/1000)*'Unbalanced PMR Recipe'!L6),if(and(I5="Growth &amp; Development",I4="Feline"),sum((250/1000)*'Unbalanced PMR Recipe'!L6),
if(and(I5="Gestation &amp; Lactation",I4="Canine"),sum(( 379/1000)*'Unbalanced PMR Recipe'!L6),
if(and(I5="Gestation &amp; Lactation",I4="Feline"),sum(( 250/1000)*'Unbalanced PMR Recipe'!L6),""))))))</f>
        <v>379</v>
      </c>
      <c r="J30" s="329" t="str">
        <f t="shared" ref="J30:J41" si="6">H30</f>
        <v>mcg</v>
      </c>
    </row>
    <row r="31">
      <c r="A31" s="357" t="s">
        <v>171</v>
      </c>
      <c r="B31" s="358"/>
      <c r="C31" s="359">
        <f>sum('Unbalanced PMR Recipe Data'!U53)/('Unbalanced PMR Recipe Data'!F21/'Unbalanced PMR Recipe'!L6)</f>
        <v>2.605721405</v>
      </c>
      <c r="D31" s="333" t="s">
        <v>11</v>
      </c>
      <c r="E31" s="360"/>
      <c r="F31" s="360"/>
      <c r="G31" s="336">
        <f>if(and(I5="Adult Maintenance",I4="Canine"),sum((2.75/1000)*'Unbalanced PMR Recipe'!L6),if(and(I5="Growth &amp; Development",I4="Canine"),sum((2.75/1000)*'Unbalanced PMR Recipe'!L6),if(and(I5="Adult Maintenance",I4="Feline"),sum((1.8/1000)*'Unbalanced PMR Recipe'!L6),if(and(I5="Growth &amp; Development",I4="Feline"),sum((1.8/1000)*'Unbalanced PMR Recipe'!L6),
if(and(I5="Gestation &amp; Lactation",I4="Canine"),sum(( 2.75/1000)*'Unbalanced PMR Recipe'!L6),
if(and(I5="Gestation &amp; Lactation",I4="Feline"),sum(( 1.4/1000)*'Unbalanced PMR Recipe'!L6),""))))))</f>
        <v>2.75</v>
      </c>
      <c r="H31" s="336" t="str">
        <f t="shared" si="5"/>
        <v>mcg</v>
      </c>
      <c r="I31" s="336">
        <f>if(and(I5="Adult Maintenance",I4="Canine"),sum((3.4/1000)*'Unbalanced PMR Recipe'!L6),if(and(I5="Growth &amp; Development",I4="Canine"),sum((3.4/1000)*'Unbalanced PMR Recipe'!L6),if(and(I5="Adult Maintenance",I4="Feline"),sum((1.8/1000)*'Unbalanced PMR Recipe'!L6),if(and(I5="Growth &amp; Development",I4="Feline"),sum((1.8/1000)*'Unbalanced PMR Recipe'!L6),
if(and(I5="Gestation &amp; Lactation",I4="Canine"),sum(( 3.4/1000)*'Unbalanced PMR Recipe'!L6),
if(and(I5="Gestation &amp; Lactation",I4="Feline"),sum(( 1.75/1000)*'Unbalanced PMR Recipe'!L6),""))))))</f>
        <v>3.4</v>
      </c>
      <c r="J31" s="336" t="str">
        <f t="shared" si="6"/>
        <v>mcg</v>
      </c>
    </row>
    <row r="32">
      <c r="A32" s="361" t="s">
        <v>172</v>
      </c>
      <c r="B32" s="362"/>
      <c r="C32" s="363">
        <f>'Unbalanced PMR Recipe Data'!U55</f>
        <v>1.02</v>
      </c>
      <c r="D32" s="340" t="s">
        <v>26</v>
      </c>
      <c r="E32" s="364"/>
      <c r="F32" s="364"/>
      <c r="G32" s="343">
        <f>if(and(I5="Adult Maintenance",I4="Canine"),sum((6/1000)*'Unbalanced PMR Recipe'!L6),if(and(I5="Growth &amp; Development",I4="Canine"),sum((6/1000)*'Unbalanced PMR Recipe'!L6),if(and(I5="Adult Maintenance",I4="Feline"),sum((10/1000)*'Unbalanced PMR Recipe'!L6),if(and(I5="Growth &amp; Development",I4="Feline"),sum((10/1000)*'Unbalanced PMR Recipe'!L6),
if(and(I5="Gestation &amp; Lactation",I4="Canine"),sum(( 6/1000)*'Unbalanced PMR Recipe'!L6),
if(and(I5="Gestation &amp; Lactation",I4="Feline"),sum(( 7.5/1000)*'Unbalanced PMR Recipe'!L6),""))))))</f>
        <v>6</v>
      </c>
      <c r="H32" s="343" t="str">
        <f t="shared" si="5"/>
        <v>mg</v>
      </c>
      <c r="I32" s="343">
        <f>if(and(I5="Adult Maintenance",I4="Canine"),sum((7.5/1000)*'Unbalanced PMR Recipe'!L6),if(and(I5="Growth &amp; Development",I4="Canine"),sum((7.5/1000)*'Unbalanced PMR Recipe'!L6),if(and(I5="Adult Maintenance",I4="Feline"),sum((10/1000)*'Unbalanced PMR Recipe'!L6),if(and(I5="Growth &amp; Development",I4="Feline"),sum((10/1000)*'Unbalanced PMR Recipe'!L6),
if(and(I5="Gestation &amp; Lactation",I4="Canine"),sum(( 7.5/1000)*'Unbalanced PMR Recipe'!L6),
if(and(I5="Gestation &amp; Lactation",I4="Feline"),sum(( 10/1000)*'Unbalanced PMR Recipe'!L6),""))))))</f>
        <v>7.5</v>
      </c>
      <c r="J32" s="343" t="str">
        <f t="shared" si="6"/>
        <v>mg</v>
      </c>
    </row>
    <row r="33">
      <c r="A33" s="357" t="s">
        <v>173</v>
      </c>
      <c r="B33" s="358"/>
      <c r="C33" s="359">
        <f>sum('Unbalanced PMR Recipe Data'!U60)/('Unbalanced PMR Recipe Data'!F21/'Unbalanced PMR Recipe'!L6)</f>
        <v>1.048278726</v>
      </c>
      <c r="D33" s="333" t="s">
        <v>26</v>
      </c>
      <c r="E33" s="360"/>
      <c r="F33" s="360"/>
      <c r="G33" s="336">
        <f>if(and(I5="Adult Maintenance",I4="Canine"),sum((0.45/1000)*'Unbalanced PMR Recipe'!L6),if(and(I5="Growth &amp; Development",I4="Canine"),sum((0.27/1000)*'Unbalanced PMR Recipe'!L6),if(and(I5="Adult Maintenance",I4="Feline"),sum((1.4/1000)*'Unbalanced PMR Recipe'!L6),if(and(I5="Growth &amp; Development",I4="Feline"),sum((1.1/1000)*'Unbalanced PMR Recipe'!L6),
if(and(I5="Gestation &amp; Lactation",I4="Canine"),sum(( 0.45/1000)*'Unbalanced PMR Recipe'!L6),
if(and(I5="Gestation &amp; Lactation",I4="Feline"),sum(( 1.1/1000)*'Unbalanced PMR Recipe'!L6),""))))))</f>
        <v>0.45</v>
      </c>
      <c r="H33" s="336" t="str">
        <f t="shared" si="5"/>
        <v>mg</v>
      </c>
      <c r="I33" s="336">
        <f>if(and(I5="Adult Maintenance",I4="Canine"),sum((0.56/1000)*'Unbalanced PMR Recipe'!L6),if(and(I5="Growth &amp; Development",I4="Canine"),sum((0.34/1000)*'Unbalanced PMR Recipe'!L6),if(and(I5="Adult Maintenance",I4="Feline"),sum((1.4/1000)*'Unbalanced PMR Recipe'!L6),if(and(I5="Growth &amp; Development",I4="Feline"),sum((1.4/1000)*'Unbalanced PMR Recipe'!L6),
if(and(I5="Gestation &amp; Lactation",I4="Canine"),sum(( 0.56/1000)*'Unbalanced PMR Recipe'!L6),
if(and(I5="Gestation &amp; Lactation",I4="Feline"),sum(( 1.4/1000)*'Unbalanced PMR Recipe'!L6),""))))))</f>
        <v>0.56</v>
      </c>
      <c r="J33" s="336" t="str">
        <f t="shared" si="6"/>
        <v>mg</v>
      </c>
    </row>
    <row r="34">
      <c r="A34" s="361" t="s">
        <v>174</v>
      </c>
      <c r="B34" s="362"/>
      <c r="C34" s="363">
        <f>sum('Unbalanced PMR Recipe Data'!U61)/('Unbalanced PMR Recipe Data'!F21/'Unbalanced PMR Recipe'!L6)</f>
        <v>6.109967433</v>
      </c>
      <c r="D34" s="340" t="s">
        <v>26</v>
      </c>
      <c r="E34" s="364"/>
      <c r="F34" s="364"/>
      <c r="G34" s="343">
        <f>if(and(I5="Adult Maintenance",I4="Canine"),sum((1.05/1000)*'Unbalanced PMR Recipe'!L6),if(and(I5="Growth &amp; Development",I4="Canine"),sum((1.05/1000)*'Unbalanced PMR Recipe'!L6),if(and(I5="Adult Maintenance",I4="Feline"),sum((1/1000)*'Unbalanced PMR Recipe'!L6),if(and(I5="Growth &amp; Development",I4="Feline"),sum((1/1000)*'Unbalanced PMR Recipe'!L6),
if(and(I5="Gestation &amp; Lactation",I4="Canine"),sum(( 1.05/1000)*'Unbalanced PMR Recipe'!L6),
if(and(I5="Gestation &amp; Lactation",I4="Feline"),sum(( 0.8/1000)*'Unbalanced PMR Recipe'!L6),""))))))</f>
        <v>1.05</v>
      </c>
      <c r="H34" s="343" t="str">
        <f t="shared" si="5"/>
        <v>mg</v>
      </c>
      <c r="I34" s="343">
        <f>if(and(I5="Adult Maintenance",I4="Canine"),sum((1.3/1000)*'Unbalanced PMR Recipe'!L6),if(and(I5="Growth &amp; Development",I4="Canine"),sum((1.32/1000)*'Unbalanced PMR Recipe'!L6),if(and(I5="Adult Maintenance",I4="Feline"),sum((1/1000)*'Unbalanced PMR Recipe'!L6),if(and(I5="Growth &amp; Development",I4="Feline"),sum((1/1000)*'Unbalanced PMR Recipe'!L6),
if(and(I5="Gestation &amp; Lactation",I4="Canine"),sum(( 1.3/1000)*'Unbalanced PMR Recipe'!L6),
if(and(I5="Gestation &amp; Lactation",I4="Feline"),sum(( 1/1000)*'Unbalanced PMR Recipe'!L6),""))))))</f>
        <v>1.3</v>
      </c>
      <c r="J34" s="343" t="str">
        <f t="shared" si="6"/>
        <v>mg</v>
      </c>
    </row>
    <row r="35">
      <c r="A35" s="357" t="s">
        <v>175</v>
      </c>
      <c r="B35" s="358"/>
      <c r="C35" s="359">
        <f>sum('Unbalanced PMR Recipe Data'!U62)/('Unbalanced PMR Recipe Data'!F21/'Unbalanced PMR Recipe'!L6)</f>
        <v>58.70360867</v>
      </c>
      <c r="D35" s="333" t="s">
        <v>26</v>
      </c>
      <c r="E35" s="360"/>
      <c r="F35" s="360"/>
      <c r="G35" s="336">
        <f>if(and(I5="Adult Maintenance",I4="Canine"),sum((3.4/1000)*'Unbalanced PMR Recipe'!L6),if(and(I5="Growth &amp; Development",I4="Canine"),sum((3.4/1000)*'Unbalanced PMR Recipe'!L6),if(and(I5="Adult Maintenance",I4="Feline"),sum((10/1000)*'Unbalanced PMR Recipe'!L6),if(and(I5="Growth &amp; Development",I4="Feline"),sum((10/1000)*'Unbalanced PMR Recipe'!L6),
if(and(I5="Gestation &amp; Lactation",I4="Canine"),sum(( 3.4/1000)*'Unbalanced PMR Recipe'!L6),
if(and(I5="Gestation &amp; Lactation",I4="Feline"),sum(( 8/1000)*'Unbalanced PMR Recipe'!L6),""))))))</f>
        <v>3.4</v>
      </c>
      <c r="H35" s="336" t="str">
        <f t="shared" si="5"/>
        <v>mg</v>
      </c>
      <c r="I35" s="336">
        <f>if(and(I5="Adult Maintenance",I4="Canine"),sum((4.25/1000)*'Unbalanced PMR Recipe'!L6),if(and(I5="Growth &amp; Development",I4="Canine"),sum((4.25/1000)*'Unbalanced PMR Recipe'!L6),if(and(I5="Adult Maintenance",I4="Feline"),sum((10/1000)*'Unbalanced PMR Recipe'!L6),if(and(I5="Growth &amp; Development",I4="Feline"),sum((10/1000)*'Unbalanced PMR Recipe'!L6),
if(and(I5="Gestation &amp; Lactation",I4="Canine"),sum(( 4.25/1000)*'Unbalanced PMR Recipe'!L6),
if(and(I5="Gestation &amp; Lactation",I4="Feline"),sum(( 10/1000)*'Unbalanced PMR Recipe'!L6),""))))))</f>
        <v>4.25</v>
      </c>
      <c r="J35" s="336" t="str">
        <f t="shared" si="6"/>
        <v>mg</v>
      </c>
    </row>
    <row r="36">
      <c r="A36" s="361" t="s">
        <v>176</v>
      </c>
      <c r="B36" s="362"/>
      <c r="C36" s="363">
        <f>sum('Unbalanced PMR Recipe Data'!U63)/('Unbalanced PMR Recipe Data'!F21/'Unbalanced PMR Recipe'!L6)</f>
        <v>18.51959083</v>
      </c>
      <c r="D36" s="340" t="s">
        <v>26</v>
      </c>
      <c r="E36" s="364"/>
      <c r="F36" s="364"/>
      <c r="G36" s="343">
        <f>if(and(I5="Adult Maintenance",I4="Canine"),sum((3/1000)*'Unbalanced PMR Recipe'!L6),if(and(I5="Growth &amp; Development",I4="Canine"),sum((3/1000)*'Unbalanced PMR Recipe'!L6),if(and(I5="Adult Maintenance",I4="Feline"),sum((1.2/1000)*'Unbalanced PMR Recipe'!L6),if(and(I5="Growth &amp; Development",I4="Feline"),sum((1.2/1000)*'Unbalanced PMR Recipe'!L6),
if(and(I5="Gestation &amp; Lactation",I4="Canine"),sum(( 3/1000)*'Unbalanced PMR Recipe'!L6),
if(and(I5="Gestation &amp; Lactation",I4="Feline"),sum(( 1.15/1000)*'Unbalanced PMR Recipe'!L6),""))))))</f>
        <v>3</v>
      </c>
      <c r="H36" s="343" t="str">
        <f t="shared" si="5"/>
        <v>mg</v>
      </c>
      <c r="I36" s="343">
        <f>if(and(I5="Adult Maintenance",I4="Canine"),sum((3.75/1000)*'Unbalanced PMR Recipe'!L6),if(and(I5="Growth &amp; Development",I4="Canine"),sum((3.75/1000)*'Unbalanced PMR Recipe'!L6),if(and(I5="Adult Maintenance",I4="Feline"),sum((1.4/1000)*'Unbalanced PMR Recipe'!L6),if(and(I5="Growth &amp; Development",I4="Feline"),sum((1.4/1000)*'Unbalanced PMR Recipe'!L6),
if(and(I5="Gestation &amp; Lactation",I4="Canine"),sum(( 3.75/1000)*'Unbalanced PMR Recipe'!L6),
if(and(I5="Gestation &amp; Lactation",I4="Feline"),sum(( 1.44/1000)*'Unbalanced PMR Recipe'!L6),""))))))</f>
        <v>3.75</v>
      </c>
      <c r="J36" s="343" t="str">
        <f t="shared" si="6"/>
        <v>mg</v>
      </c>
    </row>
    <row r="37">
      <c r="A37" s="357" t="s">
        <v>177</v>
      </c>
      <c r="B37" s="358"/>
      <c r="C37" s="359">
        <f>sum('Unbalanced PMR Recipe Data'!U64)/('Unbalanced PMR Recipe Data'!F21/'Unbalanced PMR Recipe'!L6)</f>
        <v>4.462672292</v>
      </c>
      <c r="D37" s="333" t="s">
        <v>26</v>
      </c>
      <c r="E37" s="360"/>
      <c r="F37" s="360"/>
      <c r="G37" s="336">
        <f>if(and(I5="Adult Maintenance",I4="Canine"),sum((0.3/1000)*'Unbalanced PMR Recipe'!L6),if(and(I5="Growth &amp; Development",I4="Canine"),sum((0.3/1000)*'Unbalanced PMR Recipe'!L6),if(and(I5="Adult Maintenance",I4="Feline"),sum((0.5/1000)*'Unbalanced PMR Recipe'!L6),if(and(I5="Growth &amp; Development",I4="Feline"),sum((0.5/1000)*'Unbalanced PMR Recipe'!L6),
if(and(I5="Gestation &amp; Lactation",I4="Canine"),sum(( 1.3/1000)*'Unbalanced PMR Recipe'!L6),
if(and(I5="Gestation &amp; Lactation",I4="Feline"),sum(( 0.5/1000)*'Unbalanced PMR Recipe'!L6),""))))))</f>
        <v>0.3</v>
      </c>
      <c r="H37" s="336" t="str">
        <f t="shared" si="5"/>
        <v>mg</v>
      </c>
      <c r="I37" s="336">
        <f>if(and(I5="Adult Maintenance",I4="Canine"),sum((0.375/1000)*'Unbalanced PMR Recipe'!L6),if(and(I5="Growth &amp; Development",I4="Canine"),sum((0.375/1000)*'Unbalanced PMR Recipe'!L6),if(and(I5="Adult Maintenance",I4="Feline"),sum((0.6/1000)*'Unbalanced PMR Recipe'!L6),if(and(I5="Growth &amp; Development",I4="Feline"),sum((0.6/1000)*'Unbalanced PMR Recipe'!L6),
if(and(I5="Gestation &amp; Lactation",I4="Canine"),sum(( 0.375/1000)*'Unbalanced PMR Recipe'!L6),
if(and(I5="Gestation &amp; Lactation",I4="Feline"),sum(( 0.625/1000)*'Unbalanced PMR Recipe'!L6),""))))))</f>
        <v>0.375</v>
      </c>
      <c r="J37" s="336" t="str">
        <f t="shared" si="6"/>
        <v>mg</v>
      </c>
    </row>
    <row r="38">
      <c r="A38" s="361" t="s">
        <v>178</v>
      </c>
      <c r="B38" s="362"/>
      <c r="C38" s="363">
        <f>sum('Unbalanced PMR Recipe Data'!U65)/('Unbalanced PMR Recipe Data'!F21/'Unbalanced PMR Recipe'!L6)</f>
        <v>272.3428131</v>
      </c>
      <c r="D38" s="340" t="s">
        <v>11</v>
      </c>
      <c r="E38" s="364"/>
      <c r="F38" s="371"/>
      <c r="G38" s="372">
        <f>if(and(I5="Adult Maintenance",I4="Feline"),sum((15/1000)*'Unbalanced PMR Recipe'!L6),if(and(I5="Growth &amp; Development",I4="Feline"),sum((15/1000)*'Unbalanced PMR Recipe'!L6),if(and(I5="Gestation &amp; Lactation",I4="Feline"),sum((15/1000)*'Unbalanced PMR Recipe'!L6),0)))</f>
        <v>0</v>
      </c>
      <c r="H38" s="343" t="str">
        <f t="shared" si="5"/>
        <v>mcg</v>
      </c>
      <c r="I38" s="372">
        <f>if(and(I5="Adult Maintenance",I4="Feline"),sum((18.75/1000)*'Unbalanced PMR Recipe'!L6),if(and(I5="Growth &amp; Development",I4="Feline"),sum((18.75/1000)*'Unbalanced PMR Recipe'!L6),if(and(I5="Gestation &amp; Lactation",I4="Feline"),sum((18.75/1000)*'Unbalanced PMR Recipe'!L6),0)))</f>
        <v>0</v>
      </c>
      <c r="J38" s="343" t="str">
        <f t="shared" si="6"/>
        <v>mcg</v>
      </c>
    </row>
    <row r="39">
      <c r="A39" s="357" t="s">
        <v>179</v>
      </c>
      <c r="B39" s="358"/>
      <c r="C39" s="359">
        <f>sum('Unbalanced PMR Recipe Data'!U66)/('Unbalanced PMR Recipe Data'!F21/'Unbalanced PMR Recipe'!L6)</f>
        <v>910.3252459</v>
      </c>
      <c r="D39" s="333" t="s">
        <v>11</v>
      </c>
      <c r="E39" s="360"/>
      <c r="F39" s="360"/>
      <c r="G39" s="336">
        <f>if(and(I5="Adult Maintenance",I4="Canine"),sum((54/1000)*'Unbalanced PMR Recipe'!L6),if(and(I5="Growth &amp; Development",I4="Canine"),sum((54/1000)*'Unbalanced PMR Recipe'!L6),if(and(I5="Adult Maintenance",I4="Feline"),sum((188/1000)*'Unbalanced PMR Recipe'!L6),if(and(I5="Growth &amp; Development",I4="Feline"),sum((188/1000)*'Unbalanced PMR Recipe'!L6),
if(and(I5="Gestation &amp; Lactation",I4="Canine"),sum(( 54/1000)*'Unbalanced PMR Recipe'!L6),
if(and(I5="Gestation &amp; Lactation",I4="Feline"),sum(( 150/1000)*'Unbalanced PMR Recipe'!L6),""))))))</f>
        <v>54</v>
      </c>
      <c r="H39" s="336" t="str">
        <f t="shared" si="5"/>
        <v>mcg</v>
      </c>
      <c r="I39" s="336">
        <f>if(and(I5="Adult Maintenance",I4="Canine"),sum((67.5/1000)*'Unbalanced PMR Recipe'!L6),if(and(I5="Growth &amp; Development",I4="Canine"),sum((68/1000)*'Unbalanced PMR Recipe'!L6),if(and(I5="Adult Maintenance",I4="Feline"),sum((188/1000)*'Unbalanced PMR Recipe'!L6),if(and(I5="Growth &amp; Development",I4="Feline"),sum((188/1000)*'Unbalanced PMR Recipe'!L6),
if(and(I5="Gestation &amp; Lactation",I4="Canine"),sum(( 67.5/1000)*'Unbalanced PMR Recipe'!L6),
if(and(I5="Gestation &amp; Lactation",I4="Feline"),sum(( 188/1000)*'Unbalanced PMR Recipe'!L6),""))))))</f>
        <v>67.5</v>
      </c>
      <c r="J39" s="336" t="str">
        <f t="shared" si="6"/>
        <v>mcg</v>
      </c>
    </row>
    <row r="40">
      <c r="A40" s="361" t="s">
        <v>180</v>
      </c>
      <c r="B40" s="362"/>
      <c r="C40" s="363">
        <f>sum('Unbalanced PMR Recipe Data'!U67)/('Unbalanced PMR Recipe Data'!F21/'Unbalanced PMR Recipe'!L6)</f>
        <v>84.98046208</v>
      </c>
      <c r="D40" s="340" t="s">
        <v>11</v>
      </c>
      <c r="E40" s="364"/>
      <c r="F40" s="364"/>
      <c r="G40" s="343">
        <f>if(and(I5="Adult Maintenance",I4="Canine"),sum((7/1000)*'Unbalanced PMR Recipe'!L6),if(and(I5="Growth &amp; Development",I4="Canine"),sum((7/1000)*'Unbalanced PMR Recipe'!L6),if(and(I5="Adult Maintenance",I4="Feline"),sum((5.6/1000)*'Unbalanced PMR Recipe'!L6),if(and(I5="Growth &amp; Development",I4="Feline"),sum((5.6/1000)*'Unbalanced PMR Recipe'!L6),
if(and(I5="Gestation &amp; Lactation",I4="Canine"),sum(( 7/1000)*'Unbalanced PMR Recipe'!L6),
if(and(I5="Gestation &amp; Lactation",I4="Feline"),sum(( 4.5/1000)*'Unbalanced PMR Recipe'!L6),""))))))</f>
        <v>7</v>
      </c>
      <c r="H40" s="343" t="str">
        <f t="shared" si="5"/>
        <v>mcg</v>
      </c>
      <c r="I40" s="343">
        <f>if(and(I5="Adult Maintenance",I4="Canine"),sum((8.75/1000)*'Unbalanced PMR Recipe'!L6),if(and(I5="Growth &amp; Development",I4="Canine"),sum((8.75/1000)*'Unbalanced PMR Recipe'!L6),if(and(I5="Adult Maintenance",I4="Feline"),sum((5.6/1000)*'Unbalanced PMR Recipe'!L6),if(and(I5="Growth &amp; Development",I4="Feline"),sum((5.6/1000)*'Unbalanced PMR Recipe'!L6),
if(and(I5="Gestation &amp; Lactation",I4="Canine"),sum(( 8.75/1000)*'Unbalanced PMR Recipe'!L6),
if(and(I5="Gestation &amp; Lactation",I4="Feline"),sum(( 5.6/1000)*'Unbalanced PMR Recipe'!L6),""))))))</f>
        <v>8.75</v>
      </c>
      <c r="J40" s="343" t="str">
        <f t="shared" si="6"/>
        <v>mcg</v>
      </c>
    </row>
    <row r="41">
      <c r="A41" s="373" t="s">
        <v>181</v>
      </c>
      <c r="B41" s="374"/>
      <c r="C41" s="375">
        <f>sum('Unbalanced PMR Recipe Data'!U68)/('Unbalanced PMR Recipe Data'!F21/'Unbalanced PMR Recipe'!L6)</f>
        <v>577.9210536</v>
      </c>
      <c r="D41" s="376" t="s">
        <v>11</v>
      </c>
      <c r="E41" s="377"/>
      <c r="F41" s="377"/>
      <c r="G41" s="378">
        <f>if(and(I5="Adult Maintenance",I4="Canine"),sum((340/1000)*'Unbalanced PMR Recipe'!L6),if(and(I5="Growth &amp; Development",I4="Canine"),sum((340/1000)*'Unbalanced PMR Recipe'!L6),if(and(I5="Adult Maintenance",I4="Feline"),sum((510/1000)*'Unbalanced PMR Recipe'!L6),if(and(I5="Growth &amp; Development",I4="Feline"),sum((510/1000)*'Unbalanced PMR Recipe'!L6),
if(and(I5="Gestation &amp; Lactation",I4="Canine"),sum(( 340/1000)*'Unbalanced PMR Recipe'!L6),
if(and(I5="Gestation &amp; Lactation",I4="Feline"),sum(( 510/1000)*'Unbalanced PMR Recipe'!L6),""))))))</f>
        <v>340</v>
      </c>
      <c r="H41" s="378" t="str">
        <f t="shared" si="5"/>
        <v>mcg</v>
      </c>
      <c r="I41" s="378">
        <f>if(and(I5="Adult Maintenance",I4="Canine"),sum((425/1000)*'Unbalanced PMR Recipe'!L6),if(and(I5="Growth &amp; Development",I4="Canine"),sum((425/1000)*'Unbalanced PMR Recipe'!L6),if(and(I5="Adult Maintenance",I4="Feline"),sum((637/1000)*'Unbalanced PMR Recipe'!L6),if(and(I5="Growth &amp; Development",I4="Feline"),sum((637/1000)*'Unbalanced PMR Recipe'!L6),
if(and(I5="Gestation &amp; Lactation",I4="Canine"),sum(( 425/1000)*'Unbalanced PMR Recipe'!L6),
if(and(I5="Gestation &amp; Lactation",I4="Feline"),sum(( 637/1000)*'Unbalanced PMR Recipe'!L6),""))))))</f>
        <v>425</v>
      </c>
      <c r="J41" s="378" t="str">
        <f t="shared" si="6"/>
        <v>mcg</v>
      </c>
    </row>
    <row r="42" hidden="1">
      <c r="A42" s="379" t="s">
        <v>182</v>
      </c>
      <c r="B42" s="380"/>
      <c r="C42" s="380"/>
      <c r="D42" s="380"/>
      <c r="E42" s="380"/>
      <c r="F42" s="380"/>
      <c r="G42" s="380"/>
      <c r="H42" s="380"/>
      <c r="I42" s="380"/>
      <c r="J42" s="380"/>
    </row>
    <row r="43" ht="15.75" customHeight="1">
      <c r="A43" s="317" t="s">
        <v>183</v>
      </c>
      <c r="B43" s="381"/>
      <c r="C43" s="353" t="s">
        <v>146</v>
      </c>
      <c r="D43" s="320"/>
      <c r="E43" s="354"/>
      <c r="F43" s="354"/>
      <c r="G43" s="353" t="s">
        <v>147</v>
      </c>
      <c r="H43" s="320"/>
      <c r="I43" s="353" t="s">
        <v>148</v>
      </c>
      <c r="J43" s="323"/>
    </row>
    <row r="44" ht="15.75" customHeight="1">
      <c r="A44" s="355" t="s">
        <v>184</v>
      </c>
      <c r="B44" s="356"/>
      <c r="C44" s="326">
        <f>sum('Unbalanced PMR Recipe Data'!U72)/('Unbalanced PMR Recipe Data'!F21/'Unbalanced PMR Recipe'!L6)</f>
        <v>2.695573868</v>
      </c>
      <c r="D44" s="327" t="s">
        <v>36</v>
      </c>
      <c r="E44" s="328"/>
      <c r="F44" s="328"/>
      <c r="G44" s="329">
        <f>if(and(I5="Adult Maintenance",I4="Canine"),sum((0.5/1000)*'Unbalanced PMR Recipe'!L6),if(and(I5="Growth &amp; Development",I4="Canine"),sum((2/1000)*'Unbalanced PMR Recipe'!L6),if(and(I5="Adult Maintenance",I4="Feline"),sum((0.4/1000)*'Unbalanced PMR Recipe'!L6),if(and(I5="Growth &amp; Development",I4="Feline"),sum((1.3/1000)*'Unbalanced PMR Recipe'!L6),
if(and(I5="Gestation &amp; Lactation",I4="Canine"),sum(( 1.9/1000)*'Unbalanced PMR Recipe'!L6),
if(and(I5="Gestation &amp; Lactation",I4="Feline"),sum(( 0.4/1000)*'Unbalanced PMR Recipe'!L6),""))))))</f>
        <v>0.5</v>
      </c>
      <c r="H44" s="329" t="str">
        <f t="shared" ref="H44:H45" si="7">D44</f>
        <v>g</v>
      </c>
      <c r="I44" s="329">
        <f>if(and(I5="Adult Maintenance",I4="Canine"),sum((1/1000)*'Unbalanced PMR Recipe'!L6),if(and(I5="Growth &amp; Development",I4="Canine"),sum((3/1000)*'Unbalanced PMR Recipe'!L6),if(and(I5="Adult Maintenance",I4="Feline"),sum((0.7/1000)*'Unbalanced PMR Recipe'!L6),if(and(I5="Growth &amp; Development",I4="Feline"),sum((2/1000)*'Unbalanced PMR Recipe'!L6),
if(and(I5="Gestation &amp; Lactation",I4="Canine"),sum(( 1.9/1000)*'Unbalanced PMR Recipe'!L6),
if(and(I5="Gestation &amp; Lactation",I4="Feline"),sum(( 0.72/1000)*'Unbalanced PMR Recipe'!L6),""))))))</f>
        <v>1</v>
      </c>
      <c r="J44" s="329" t="str">
        <f t="shared" ref="J44:J45" si="8">H44</f>
        <v>g</v>
      </c>
    </row>
    <row r="45">
      <c r="A45" s="357" t="s">
        <v>185</v>
      </c>
      <c r="B45" s="358"/>
      <c r="C45" s="359">
        <f>sum('Unbalanced PMR Recipe Data'!U74)/('Unbalanced PMR Recipe Data'!F21/'Unbalanced PMR Recipe'!L6)</f>
        <v>2.645655833</v>
      </c>
      <c r="D45" s="333" t="s">
        <v>36</v>
      </c>
      <c r="E45" s="360"/>
      <c r="F45" s="360"/>
      <c r="G45" s="336">
        <f>if(and(I5="Adult Maintenance",I4="Canine"),sum((0.75/1000)*'Unbalanced PMR Recipe'!L6),if(and(I5="Growth &amp; Development",I4="Canine"),sum((2.5/1000)*'Unbalanced PMR Recipe'!L6),if(and(I5="Adult Maintenance",I4="Feline"),sum((0.4/1000)*'Unbalanced PMR Recipe'!L6),if(and(I5="Growth &amp; Development",I4="Feline"),sum((1.2/1000)*'Unbalanced PMR Recipe'!L6),
if(and(I5="Gestation &amp; Lactation",I4="Canine"),sum(( 1.2/1000)*'Unbalanced PMR Recipe'!L6),
if(and(I5="Gestation &amp; Lactation",I4="Feline"),sum(( 0.35/1000)*'Unbalanced PMR Recipe'!L6),""))))))</f>
        <v>0.75</v>
      </c>
      <c r="H45" s="336" t="str">
        <f t="shared" si="7"/>
        <v>g</v>
      </c>
      <c r="I45" s="336">
        <f>if(and(I5="Adult Maintenance",I4="Canine"),sum((0.75/1000)*'Unbalanced PMR Recipe'!L6),if(and(I5="Growth &amp; Development",I4="Canine"),sum((2.5/1000)*'Unbalanced PMR Recipe'!L6),if(and(I5="Adult Maintenance",I4="Feline"),sum((0.6/1000)*'Unbalanced PMR Recipe'!L6),if(and(I5="Growth &amp; Development",I4="Feline"),sum((1.8/1000)*'Unbalanced PMR Recipe'!L6),
if(and(I5="Gestation &amp; Lactation",I4="Canine"),sum(( 1.2/1000)*'Unbalanced PMR Recipe'!L6),
if(and(I5="Gestation &amp; Lactation",I4="Feline"),sum(( 0.64/1000)*'Unbalanced PMR Recipe'!L6),""))))))</f>
        <v>0.75</v>
      </c>
      <c r="J45" s="336" t="str">
        <f t="shared" si="8"/>
        <v>g</v>
      </c>
    </row>
    <row r="46" hidden="1">
      <c r="A46" s="382" t="s">
        <v>186</v>
      </c>
      <c r="B46" s="383"/>
      <c r="C46" s="383"/>
      <c r="D46" s="383"/>
      <c r="E46" s="383"/>
      <c r="F46" s="383"/>
      <c r="G46" s="383"/>
      <c r="H46" s="383"/>
      <c r="I46" s="383"/>
      <c r="J46" s="383"/>
    </row>
    <row r="47">
      <c r="A47" s="357" t="s">
        <v>187</v>
      </c>
      <c r="B47" s="358"/>
      <c r="C47" s="359">
        <f>sum('Unbalanced PMR Recipe Data'!U76)/('Unbalanced PMR Recipe Data'!F21/'Unbalanced PMR Recipe'!L6)</f>
        <v>208.5874993</v>
      </c>
      <c r="D47" s="333" t="s">
        <v>26</v>
      </c>
      <c r="E47" s="360"/>
      <c r="F47" s="360"/>
      <c r="G47" s="336">
        <f>if(and(I5="Adult Maintenance",I4="Canine"),sum((45/1000)*'Unbalanced PMR Recipe'!L6),if(and(I5="Growth &amp; Development",I4="Canine"),sum((45/1000)*'Unbalanced PMR Recipe'!L6),if(and(I5="Adult Maintenance",I4="Feline"),sum((50/1000)*'Unbalanced PMR Recipe'!L6),if(and(I5="Growth &amp; Development",I4="Feline"),sum((40/1000)*'Unbalanced PMR Recipe'!L6),
if(and(I5="Gestation &amp; Lactation",I4="Canine"),sum(( 150/1000)*'Unbalanced PMR Recipe'!L6),
if(and(I5="Gestation &amp; Lactation",I4="Feline"),sum(( 50/1000)*'Unbalanced PMR Recipe'!L6),""))))))</f>
        <v>45</v>
      </c>
      <c r="H47" s="336" t="str">
        <f t="shared" ref="H47:H56" si="9">D47</f>
        <v>mg</v>
      </c>
      <c r="I47" s="336">
        <f>if(and(I5="Adult Maintenance",I4="Canine"),sum((150/1000)*'Unbalanced PMR Recipe'!L6),if(and(I5="Growth &amp; Development",I4="Canine"),sum((100/1000)*'Unbalanced PMR Recipe'!L6),if(and(I5="Adult Maintenance",I4="Feline"),sum((100/1000)*'Unbalanced PMR Recipe'!L6),if(and(I5="Growth &amp; Development",I4="Feline"),sum((100/1000)*'Unbalanced PMR Recipe'!L6),
if(and(I5="Gestation &amp; Lactation",I4="Canine"),sum(( 150/1000)*'Unbalanced PMR Recipe'!L6),
if(and(I5="Gestation &amp; Lactation",I4="Feline"),sum(( 100/1000)*'Unbalanced PMR Recipe'!L6),""))))))</f>
        <v>150</v>
      </c>
      <c r="J47" s="336" t="str">
        <f t="shared" ref="J47:J56" si="10">H47</f>
        <v>mg</v>
      </c>
    </row>
    <row r="48">
      <c r="A48" s="361" t="s">
        <v>188</v>
      </c>
      <c r="B48" s="362"/>
      <c r="C48" s="363">
        <f>sum('Unbalanced PMR Recipe Data'!U78)/('Unbalanced PMR Recipe Data'!F21/'Unbalanced PMR Recipe'!L6)</f>
        <v>719.937862</v>
      </c>
      <c r="D48" s="340" t="s">
        <v>26</v>
      </c>
      <c r="E48" s="364"/>
      <c r="F48" s="364"/>
      <c r="G48" s="343">
        <f>if(and(I5="Adult Maintenance",I4="Canine"),sum((75/1000)*'Unbalanced PMR Recipe'!L6),if(and(I5="Growth &amp; Development",I4="Canine"),sum((550/1000)*'Unbalanced PMR Recipe'!L6),if(and(I5="Adult Maintenance",I4="Feline"),sum((160/1000)*'Unbalanced PMR Recipe'!L6),if(and(I5="Growth &amp; Development",I4="Feline"),sum((310/1000)*'Unbalanced PMR Recipe'!L6),
if(and(I5="Gestation &amp; Lactation",I4="Canine"),sum(( 500/1000)*'Unbalanced PMR Recipe'!L6),
if(and(I5="Gestation &amp; Lactation",I4="Feline"),sum(( 160/1000)*'Unbalanced PMR Recipe'!L6),""))))))</f>
        <v>75</v>
      </c>
      <c r="H48" s="343" t="str">
        <f t="shared" si="9"/>
        <v>mg</v>
      </c>
      <c r="I48" s="343">
        <f>if(and(I5="Adult Maintenance",I4="Canine"),sum((200/1000)*'Unbalanced PMR Recipe'!L6),if(and(I5="Growth &amp; Development",I4="Canine"),sum((550/1000)*'Unbalanced PMR Recipe'!L6),if(and(I5="Adult Maintenance",I4="Feline"),sum((170/1000)*'Unbalanced PMR Recipe'!L6),if(and(I5="Growth &amp; Development",I4="Feline"),sum((350/1000)*'Unbalanced PMR Recipe'!L6),
if(and(I5="Gestation &amp; Lactation",I4="Canine"),sum(( 500/1000)*'Unbalanced PMR Recipe'!L6),
if(and(I5="Gestation &amp; Lactation",I4="Feline"),sum(( 170/1000)*'Unbalanced PMR Recipe'!L6),""))))))</f>
        <v>200</v>
      </c>
      <c r="J48" s="343" t="str">
        <f t="shared" si="10"/>
        <v>mg</v>
      </c>
    </row>
    <row r="49">
      <c r="A49" s="357" t="s">
        <v>189</v>
      </c>
      <c r="B49" s="358"/>
      <c r="C49" s="359">
        <f>sum('Unbalanced PMR Recipe Data'!U80)/('Unbalanced PMR Recipe Data'!F21/'Unbalanced PMR Recipe'!L6)</f>
        <v>1.627327928</v>
      </c>
      <c r="D49" s="333" t="s">
        <v>36</v>
      </c>
      <c r="E49" s="360"/>
      <c r="F49" s="360"/>
      <c r="G49" s="336">
        <f>if(and(I5="Adult Maintenance",I4="Canine"),sum((1/1000)*'Unbalanced PMR Recipe'!L6),if(and(I5="Growth &amp; Development",I4="Canine"),sum((1.1/1000)*'Unbalanced PMR Recipe'!L6),if(and(I5="Adult Maintenance",I4="Feline"),sum((1.3/1000)*'Unbalanced PMR Recipe'!L6),if(and(I5="Growth &amp; Development",I4="Feline"),sum((0.7/1000)*'Unbalanced PMR Recipe'!L6),
if(and(I5="Gestation &amp; Lactation",I4="Canine"),sum(( 0.9/1000)*'Unbalanced PMR Recipe'!L6),
if(and(I5="Gestation &amp; Lactation",I4="Feline"),sum(( 1.3/1000)*'Unbalanced PMR Recipe'!L6),""))))))</f>
        <v>1</v>
      </c>
      <c r="H49" s="336" t="str">
        <f t="shared" si="9"/>
        <v>g</v>
      </c>
      <c r="I49" s="336">
        <f>if(and(I5="Adult Maintenance",I4="Canine"),sum((1/1000)*'Unbalanced PMR Recipe'!L6),if(and(I5="Growth &amp; Development",I4="Canine"),sum((1.1/1000)*'Unbalanced PMR Recipe'!L6),if(and(I5="Adult Maintenance",I4="Feline"),sum((1.3/1000)*'Unbalanced PMR Recipe'!L6),if(and(I5="Growth &amp; Development",I4="Feline"),sum((1/1000)*'Unbalanced PMR Recipe'!L6),
if(and(I5="Gestation &amp; Lactation",I4="Canine"),sum(( 0.9/1000)*'Unbalanced PMR Recipe'!L6),
if(and(I5="Gestation &amp; Lactation",I4="Feline"),sum(( 1.3/1000)*'Unbalanced PMR Recipe'!L6),""))))))</f>
        <v>1</v>
      </c>
      <c r="J49" s="336" t="str">
        <f t="shared" si="10"/>
        <v>g</v>
      </c>
    </row>
    <row r="50">
      <c r="A50" s="361" t="s">
        <v>190</v>
      </c>
      <c r="B50" s="362"/>
      <c r="C50" s="363">
        <f>sum('Unbalanced PMR Recipe Data'!U82)/('Unbalanced PMR Recipe Data'!F21/'Unbalanced PMR Recipe'!L6)</f>
        <v>1079.896809</v>
      </c>
      <c r="D50" s="340" t="s">
        <v>26</v>
      </c>
      <c r="E50" s="364"/>
      <c r="F50" s="364"/>
      <c r="G50" s="343">
        <f>if(and(I5="Adult Maintenance",I4="Canine"),sum((300/1000)*'Unbalanced PMR Recipe'!L6),if(and(I5="Growth &amp; Development",I4="Canine"),sum((720/1000)*'Unbalanced PMR Recipe'!L6),if(and(I5="Adult Maintenance",I4="Feline"),sum((240/1000)*'Unbalanced PMR Recipe'!L6),if(and(I5="Growth &amp; Development",I4="Feline"),sum((190/1000)*'Unbalanced PMR Recipe'!L6),
if(and(I5="Gestation &amp; Lactation",I4="Canine"),sum(( 750/1000)*'Unbalanced PMR Recipe'!L6),
if(and(I5="Gestation &amp; Lactation",I4="Feline"),sum(( 240/1000)*'Unbalanced PMR Recipe'!L6),""))))))</f>
        <v>300</v>
      </c>
      <c r="H50" s="343" t="str">
        <f t="shared" si="9"/>
        <v>mg</v>
      </c>
      <c r="I50" s="343">
        <f>if(and(I5="Adult Maintenance",I4="Canine"),sum((300/1000)*'Unbalanced PMR Recipe'!L6),if(and(I5="Growth &amp; Development",I4="Canine"),sum((720/1000)*'Unbalanced PMR Recipe'!L6),if(and(I5="Adult Maintenance",I4="Feline"),sum((240/1000)*'Unbalanced PMR Recipe'!L6),if(and(I5="Growth &amp; Development",I4="Feline"),sum((225/1000)*'Unbalanced PMR Recipe'!L6),
if(and(I5="Gestation &amp; Lactation",I4="Canine"),sum((750/1000)*'Unbalanced PMR Recipe'!L6),
if(and(I5="Gestation &amp; Lactation",I4="Feline"),sum(( 240/1000)*'Unbalanced PMR Recipe'!L6),""))))))</f>
        <v>300</v>
      </c>
      <c r="J50" s="343" t="str">
        <f t="shared" si="10"/>
        <v>mg</v>
      </c>
    </row>
    <row r="51">
      <c r="A51" s="357" t="s">
        <v>191</v>
      </c>
      <c r="B51" s="358"/>
      <c r="C51" s="359">
        <f>sum('Unbalanced PMR Recipe Data'!U83)/('Unbalanced PMR Recipe Data'!F21/'Unbalanced PMR Recipe'!L6)</f>
        <v>25.19862386</v>
      </c>
      <c r="D51" s="333" t="s">
        <v>26</v>
      </c>
      <c r="E51" s="360"/>
      <c r="F51" s="360"/>
      <c r="G51" s="336">
        <f>if(and(I5="Adult Maintenance",I4="Canine"),sum((7.5/1000)*'Unbalanced PMR Recipe'!L6),if(and(I5="Growth &amp; Development",I4="Canine"),sum((18/1000)*'Unbalanced PMR Recipe'!L6),if(and(I5="Adult Maintenance",I4="Feline"),sum((20/1000)*'Unbalanced PMR Recipe'!L6),if(and(I5="Growth &amp; Development",I4="Feline"),sum((17/1000)*'Unbalanced PMR Recipe'!L6),
if(and(I5="Gestation &amp; Lactation",I4="Canine"),sum(( 17/1000)*'Unbalanced PMR Recipe'!L6),
if(and(I5="Gestation &amp; Lactation",I4="Feline"),sum(( 20/1000)*'Unbalanced PMR Recipe'!L6),""))))))</f>
        <v>7.5</v>
      </c>
      <c r="H51" s="336" t="str">
        <f t="shared" si="9"/>
        <v>mg</v>
      </c>
      <c r="I51" s="336">
        <f>if(and(I5="Adult Maintenance",I4="Canine"),sum((7.5/1000)*'Unbalanced PMR Recipe'!L6),if(and(I5="Growth &amp; Development",I4="Canine"),sum((22/1000)*'Unbalanced PMR Recipe'!L6),if(and(I5="Adult Maintenance",I4="Feline"),sum((20/1000)*'Unbalanced PMR Recipe'!L6),if(and(I5="Growth &amp; Development",I4="Feline"),sum((20/1000)*'Unbalanced PMR Recipe'!L6),
if(and(I5="Gestation &amp; Lactation",I4="Canine"),sum(( 17/1000)*'Unbalanced PMR Recipe'!L6),
if(and(I5="Gestation &amp; Lactation",I4="Feline"),sum(( 20/1000)*'Unbalanced PMR Recipe'!L6),""))))))</f>
        <v>7.5</v>
      </c>
      <c r="J51" s="336" t="str">
        <f t="shared" si="10"/>
        <v>mg</v>
      </c>
    </row>
    <row r="52">
      <c r="A52" s="361" t="s">
        <v>192</v>
      </c>
      <c r="B52" s="362"/>
      <c r="C52" s="363">
        <f>sum('Unbalanced PMR Recipe Data'!U85)/('Unbalanced PMR Recipe Data'!F21/'Unbalanced PMR Recipe'!L6)</f>
        <v>2.595737799</v>
      </c>
      <c r="D52" s="340" t="s">
        <v>26</v>
      </c>
      <c r="E52" s="364"/>
      <c r="F52" s="364"/>
      <c r="G52" s="343">
        <f>if(and(I5="Adult Maintenance",I4="Canine"),sum((1.5/1000)*'Unbalanced PMR Recipe'!L6),if(and(I5="Growth &amp; Development",I4="Canine"),sum((2.7/1000)*'Unbalanced PMR Recipe'!L6),if(and(I5="Adult Maintenance",I4="Feline"),sum((1.2/1000)*'Unbalanced PMR Recipe'!L6),if(and(I5="Growth &amp; Development",I4="Feline"),sum((1.2/1000)*'Unbalanced PMR Recipe'!L6),
if(and(I5="Gestation &amp; Lactation",I4="Canine"),sum((3.1/1000)*'Unbalanced PMR Recipe'!L6),
if(and(I5="Gestation &amp; Lactation",I4="Feline"),sum(( 1.2/1000)*'Unbalanced PMR Recipe'!L6),""))))))</f>
        <v>1.5</v>
      </c>
      <c r="H52" s="343" t="str">
        <f t="shared" si="9"/>
        <v>mg</v>
      </c>
      <c r="I52" s="343">
        <f>if(and(I5="Adult Maintenance",I4="Canine"),sum((1.5/1000)*'Unbalanced PMR Recipe'!L6),if(and(I5="Growth &amp; Development",I4="Canine"),sum((2.7/1000)*'Unbalanced PMR Recipe'!L6),if(and(I5="Adult Maintenance",I4="Feline"),sum((1.2/1000)*'Unbalanced PMR Recipe'!L6),if(and(I5="Growth &amp; Development",I4="Feline"),sum((2.1/1000)*'Unbalanced PMR Recipe'!L6),
if(and(I5="Gestation &amp; Lactation",I4="Canine"),sum((3.1/1000)*'Unbalanced PMR Recipe'!L6),
if(and(I5="Gestation &amp; Lactation",I4="Feline"),sum(( 1.2/1000)*'Unbalanced PMR Recipe'!L6),""))))))</f>
        <v>1.5</v>
      </c>
      <c r="J52" s="343" t="str">
        <f t="shared" si="10"/>
        <v>mg</v>
      </c>
    </row>
    <row r="53">
      <c r="A53" s="357" t="s">
        <v>193</v>
      </c>
      <c r="B53" s="358"/>
      <c r="C53" s="359">
        <f>sum('Unbalanced PMR Recipe Data'!U86)/('Unbalanced PMR Recipe Data'!F21/'Unbalanced PMR Recipe'!L6)</f>
        <v>18.769181</v>
      </c>
      <c r="D53" s="333" t="s">
        <v>26</v>
      </c>
      <c r="E53" s="360"/>
      <c r="F53" s="360"/>
      <c r="G53" s="336">
        <f>if(and(I5="Adult Maintenance",I4="Canine"),sum((15/1000)*'Unbalanced PMR Recipe'!L6),if(and(I5="Growth &amp; Development",I4="Canine"),sum((10/1000)*'Unbalanced PMR Recipe'!L6),if(and(I5="Adult Maintenance",I4="Feline"),sum((18.5/1000)*'Unbalanced PMR Recipe'!L6),if(and(I5="Growth &amp; Development",I4="Feline"),sum((12.5/1000)*'Unbalanced PMR Recipe'!L6),
if(and(I5="Gestation &amp; Lactation",I4="Canine"),sum((24/1000)*'Unbalanced PMR Recipe'!L6),
if(and(I5="Gestation &amp; Lactation",I4="Feline"),sum(( 18.5/1000)*'Unbalanced PMR Recipe'!L6),""))))))</f>
        <v>15</v>
      </c>
      <c r="H53" s="336" t="str">
        <f t="shared" si="9"/>
        <v>mg</v>
      </c>
      <c r="I53" s="336">
        <f>if(and(I5="Adult Maintenance",I4="Canine"),sum((15/1000)*'Unbalanced PMR Recipe'!L6),if(and(I5="Growth &amp; Development",I4="Canine"),sum((25/1000)*'Unbalanced PMR Recipe'!L6),if(and(I5="Adult Maintenance",I4="Feline"),sum((18.5/1000)*'Unbalanced PMR Recipe'!L6),if(and(I5="Growth &amp; Development",I4="Feline"),sum((18.5/1000)*'Unbalanced PMR Recipe'!L6),
if(and(I5="Gestation &amp; Lactation",I4="Canine"),sum((24/1000)*'Unbalanced PMR Recipe'!L6),
if(and(I5="Gestation &amp; Lactation",I4="Feline"),sum(( 18.5/1000)*'Unbalanced PMR Recipe'!L6),""))))))</f>
        <v>15</v>
      </c>
      <c r="J53" s="336" t="str">
        <f t="shared" si="10"/>
        <v>mg</v>
      </c>
    </row>
    <row r="54">
      <c r="A54" s="361" t="s">
        <v>194</v>
      </c>
      <c r="B54" s="362"/>
      <c r="C54" s="363">
        <f>sum('Unbalanced PMR Recipe Data'!U88)/('Unbalanced PMR Recipe Data'!F21/'Unbalanced PMR Recipe'!L6)</f>
        <v>0.9783934779</v>
      </c>
      <c r="D54" s="340" t="s">
        <v>26</v>
      </c>
      <c r="E54" s="364"/>
      <c r="F54" s="364"/>
      <c r="G54" s="343">
        <f>if(and(I5="Adult Maintenance",I4="Canine"),sum((1.2/1000)*'Unbalanced PMR Recipe'!L6),if(and(I5="Growth &amp; Development",I4="Canine"),sum((1.4/1000)*'Unbalanced PMR Recipe'!L6),if(and(I5="Adult Maintenance",I4="Feline"),sum((1.2/1000)*'Unbalanced PMR Recipe'!L6),if(and(I5="Growth &amp; Development",I4="Feline"),sum((1.2/1000)*'Unbalanced PMR Recipe'!L6),
if(and(I5="Gestation &amp; Lactation",I4="Canine"),sum(( 1.8/1000)*'Unbalanced PMR Recipe'!L6),
if(and(I5="Gestation &amp; Lactation",I4="Feline"),sum(( 1.2/1000)*'Unbalanced PMR Recipe'!L6),""))))))</f>
        <v>1.2</v>
      </c>
      <c r="H54" s="343" t="str">
        <f t="shared" si="9"/>
        <v>mg</v>
      </c>
      <c r="I54" s="343">
        <f>if(and(I5="Adult Maintenance",I4="Canine"),sum((1.2/1000)*'Unbalanced PMR Recipe'!L6),if(and(I5="Growth &amp; Development",I4="Canine"),sum((1.4/1000)*'Unbalanced PMR Recipe'!L6),if(and(I5="Adult Maintenance",I4="Feline"),sum((1.2/1000)*'Unbalanced PMR Recipe'!L6),if(and(I5="Growth &amp; Development",I4="Feline"),sum((1.2/1000)*'Unbalanced PMR Recipe'!L6),
if(and(I5="Gestation &amp; Lactation",I4="Canine"),sum(( 1.8/1000)*'Unbalanced PMR Recipe'!L6),
if(and(I5="Gestation &amp; Lactation",I4="Feline"),sum(( 1.2/1000)*'Unbalanced PMR Recipe'!L6),""))))))</f>
        <v>1.2</v>
      </c>
      <c r="J54" s="343" t="str">
        <f t="shared" si="10"/>
        <v>mg</v>
      </c>
    </row>
    <row r="55">
      <c r="A55" s="357" t="s">
        <v>195</v>
      </c>
      <c r="B55" s="358"/>
      <c r="C55" s="359">
        <f>sum('Unbalanced PMR Recipe Data'!U90)/('Unbalanced PMR Recipe Data'!F21/'Unbalanced PMR Recipe'!L6)</f>
        <v>265.9632883</v>
      </c>
      <c r="D55" s="333" t="s">
        <v>11</v>
      </c>
      <c r="E55" s="360"/>
      <c r="F55" s="360"/>
      <c r="G55" s="336">
        <f>if(and(I5="Adult Maintenance",I4="Canine"),sum((87.5/1000)*'Unbalanced PMR Recipe'!L6),if(and(I5="Growth &amp; Development",I4="Canine"),sum((52.5/1000)*'Unbalanced PMR Recipe'!L6),if(and(I5="Adult Maintenance",I4="Feline"),sum((75/1000)*'Unbalanced PMR Recipe'!L6),if(and(I5="Growth &amp; Development",I4="Feline"),sum((30/1000)*'Unbalanced PMR Recipe'!L6),
if(and(I5="Gestation &amp; Lactation",I4="Canine"),sum((87.5/1000)*'Unbalanced PMR Recipe'!L6),
if(and(I5="Gestation &amp; Lactation",I4="Feline"),sum(( 75/1000)*'Unbalanced PMR Recipe'!L6),""))))))</f>
        <v>87.5</v>
      </c>
      <c r="H55" s="336" t="str">
        <f t="shared" si="9"/>
        <v>mcg</v>
      </c>
      <c r="I55" s="336">
        <f>if(and(I5="Adult Maintenance",I4="Canine"),sum((87.5/1000)*'Unbalanced PMR Recipe'!L6),if(and(I5="Growth &amp; Development",I4="Canine"),sum((87.5/1000)*'Unbalanced PMR Recipe'!L6),if(and(I5="Adult Maintenance",I4="Feline"),sum((75/1000)*'Unbalanced PMR Recipe'!L6),if(and(I5="Growth &amp; Development",I4="Feline"),sum((75/1000)*'Unbalanced PMR Recipe'!L6),
if(and(I5="Gestation &amp; Lactation",I4="Canine"),sum((87.5/1000)*'Unbalanced PMR Recipe'!L6),
if(and(I5="Gestation &amp; Lactation",I4="Feline"),sum(( 75/1000)*'Unbalanced PMR Recipe'!L6),""))))))</f>
        <v>87.5</v>
      </c>
      <c r="J55" s="336" t="str">
        <f t="shared" si="10"/>
        <v>mcg</v>
      </c>
    </row>
    <row r="56">
      <c r="A56" s="361" t="s">
        <v>196</v>
      </c>
      <c r="B56" s="362"/>
      <c r="C56" s="384">
        <v>0.0</v>
      </c>
      <c r="D56" s="340" t="s">
        <v>11</v>
      </c>
      <c r="E56" s="364"/>
      <c r="F56" s="364"/>
      <c r="G56" s="343">
        <f>if(and(I5="Adult Maintenance",I4="Canine"),sum((175/1000)*'Unbalanced PMR Recipe'!L6),if(and(I5="Growth &amp; Development",I4="Canine"),sum((220/1000)*'Unbalanced PMR Recipe'!L6),if(and(I5="Adult Maintenance",I4="Feline"),sum((220/1000)*'Unbalanced PMR Recipe'!L6),if(and(I5="Growth &amp; Development",I4="Feline"),sum((220/1000)*'Unbalanced PMR Recipe'!L6),
if(and(I5="Gestation &amp; Lactation",I4="Canine"),sum(( 220/1000)*'Unbalanced PMR Recipe'!L6),
if(and(I5="Gestation &amp; Lactation",I4="Feline"),sum(( 220/1000)*'Unbalanced PMR Recipe'!L6),""))))))</f>
        <v>175</v>
      </c>
      <c r="H56" s="343" t="str">
        <f t="shared" si="9"/>
        <v>mcg</v>
      </c>
      <c r="I56" s="343">
        <f>if(and(I5="Adult Maintenance",I4="Canine"),sum((220/1000)*'Unbalanced PMR Recipe'!L6),if(and(I5="Growth &amp; Development",I4="Canine"),sum((220/1000)*'Unbalanced PMR Recipe'!L6),if(and(I5="Adult Maintenance",I4="Feline"),sum((220/1000)*'Unbalanced PMR Recipe'!L6),if(and(I5="Growth &amp; Development",I4="Feline"),sum((220/1000)*'Unbalanced PMR Recipe'!L6),
if(and(I5="Gestation &amp; Lactation",I4="Canine"),sum(( 220/1000)*'Unbalanced PMR Recipe'!L6),
if(and(I5="Gestation &amp; Lactation",I4="Feline"),sum(( 350/1000)*'Unbalanced PMR Recipe'!L6),""))))))</f>
        <v>220</v>
      </c>
      <c r="J56" s="343" t="str">
        <f t="shared" si="10"/>
        <v>mcg</v>
      </c>
    </row>
    <row r="57" hidden="1">
      <c r="A57" s="385" t="s">
        <v>197</v>
      </c>
    </row>
    <row r="58">
      <c r="A58" s="386" t="s">
        <v>198</v>
      </c>
      <c r="B58" s="387"/>
      <c r="C58" s="318"/>
      <c r="D58" s="381"/>
      <c r="E58" s="381"/>
      <c r="F58" s="381"/>
      <c r="G58" s="381"/>
      <c r="H58" s="381"/>
      <c r="I58" s="381"/>
      <c r="J58" s="388"/>
    </row>
    <row r="59">
      <c r="A59" s="355" t="s">
        <v>199</v>
      </c>
      <c r="B59" s="356"/>
      <c r="C59" s="389" t="str">
        <f>'Unbalanced PMR Recipe Data'!H94</f>
        <v>1.02 : 1</v>
      </c>
      <c r="D59" s="239"/>
      <c r="E59" s="356"/>
      <c r="F59" s="356"/>
      <c r="G59" s="356"/>
      <c r="H59" s="356"/>
      <c r="I59" s="355"/>
      <c r="J59" s="356"/>
    </row>
    <row r="60">
      <c r="A60" s="357" t="s">
        <v>200</v>
      </c>
      <c r="B60" s="358"/>
      <c r="C60" s="390" t="str">
        <f>'Unbalanced PMR Recipe Data'!S94</f>
        <v>34.49 : 1</v>
      </c>
      <c r="D60" s="248"/>
      <c r="E60" s="358"/>
      <c r="F60" s="358"/>
      <c r="G60" s="358"/>
      <c r="H60" s="358"/>
      <c r="I60" s="358"/>
      <c r="J60" s="358"/>
    </row>
  </sheetData>
  <mergeCells count="21">
    <mergeCell ref="A1:J1"/>
    <mergeCell ref="I3:J3"/>
    <mergeCell ref="I4:J4"/>
    <mergeCell ref="I5:J5"/>
    <mergeCell ref="C8:D8"/>
    <mergeCell ref="G8:H8"/>
    <mergeCell ref="I8:J8"/>
    <mergeCell ref="C43:D43"/>
    <mergeCell ref="G43:H43"/>
    <mergeCell ref="I43:J43"/>
    <mergeCell ref="A46:J46"/>
    <mergeCell ref="A57:J57"/>
    <mergeCell ref="C59:D59"/>
    <mergeCell ref="C60:D60"/>
    <mergeCell ref="C23:D23"/>
    <mergeCell ref="G23:H23"/>
    <mergeCell ref="I23:J23"/>
    <mergeCell ref="C29:D29"/>
    <mergeCell ref="G29:H29"/>
    <mergeCell ref="I29:J29"/>
    <mergeCell ref="A42:J42"/>
  </mergeCells>
  <conditionalFormatting sqref="A9:J9">
    <cfRule type="expression" dxfId="3" priority="1">
      <formula>$C$9&lt;$I$9</formula>
    </cfRule>
  </conditionalFormatting>
  <conditionalFormatting sqref="A19:J19">
    <cfRule type="expression" dxfId="3" priority="2">
      <formula>$C$19&lt;$I$19</formula>
    </cfRule>
  </conditionalFormatting>
  <conditionalFormatting sqref="A11:J11">
    <cfRule type="expression" dxfId="3" priority="3">
      <formula>$C$11&lt;$I$11</formula>
    </cfRule>
  </conditionalFormatting>
  <conditionalFormatting sqref="A12:J12">
    <cfRule type="expression" dxfId="3" priority="4">
      <formula>$C$12&lt;$I$12</formula>
    </cfRule>
  </conditionalFormatting>
  <conditionalFormatting sqref="A13:J13">
    <cfRule type="expression" dxfId="3" priority="5">
      <formula>$C$13&lt;$I$13</formula>
    </cfRule>
  </conditionalFormatting>
  <conditionalFormatting sqref="A14:J14">
    <cfRule type="expression" dxfId="3" priority="6">
      <formula>$C$14&lt;$I$14</formula>
    </cfRule>
  </conditionalFormatting>
  <conditionalFormatting sqref="A15:J15">
    <cfRule type="expression" dxfId="3" priority="7">
      <formula>$C$15&lt;$I$15</formula>
    </cfRule>
  </conditionalFormatting>
  <conditionalFormatting sqref="A16:J16">
    <cfRule type="expression" dxfId="3" priority="8">
      <formula>$C$16&lt;$I$16</formula>
    </cfRule>
  </conditionalFormatting>
  <conditionalFormatting sqref="A17:J17">
    <cfRule type="expression" dxfId="3" priority="9">
      <formula>$C$17&lt;$I$17</formula>
    </cfRule>
  </conditionalFormatting>
  <conditionalFormatting sqref="A18:J18">
    <cfRule type="expression" dxfId="3" priority="10">
      <formula>$C$18&lt;$I$18</formula>
    </cfRule>
  </conditionalFormatting>
  <conditionalFormatting sqref="A10:J10">
    <cfRule type="expression" dxfId="3" priority="11">
      <formula>$C$10&lt;$I$10</formula>
    </cfRule>
  </conditionalFormatting>
  <conditionalFormatting sqref="A20:J20">
    <cfRule type="expression" dxfId="3" priority="12">
      <formula>$C$20&lt;$I$20</formula>
    </cfRule>
  </conditionalFormatting>
  <conditionalFormatting sqref="A21:J21">
    <cfRule type="expression" dxfId="3" priority="13">
      <formula>$C$21&lt;$I$21</formula>
    </cfRule>
  </conditionalFormatting>
  <conditionalFormatting sqref="A22:J22">
    <cfRule type="expression" dxfId="3" priority="14">
      <formula>$C$22&lt;$I$22</formula>
    </cfRule>
  </conditionalFormatting>
  <conditionalFormatting sqref="A28:J28">
    <cfRule type="expression" dxfId="3" priority="15">
      <formula>$C$28&lt;$I$28</formula>
    </cfRule>
  </conditionalFormatting>
  <conditionalFormatting sqref="A25:J25">
    <cfRule type="expression" dxfId="3" priority="16">
      <formula>$C$25&lt;$I$25</formula>
    </cfRule>
  </conditionalFormatting>
  <conditionalFormatting sqref="A24:J24">
    <cfRule type="expression" dxfId="3" priority="17">
      <formula>$C$24&lt;$I$24</formula>
    </cfRule>
  </conditionalFormatting>
  <conditionalFormatting sqref="A27:J27">
    <cfRule type="expression" dxfId="3" priority="18">
      <formula>$C$27&lt;$I$27</formula>
    </cfRule>
  </conditionalFormatting>
  <conditionalFormatting sqref="A30:J30">
    <cfRule type="expression" dxfId="3" priority="19">
      <formula>$C$30&lt;$I$30</formula>
    </cfRule>
  </conditionalFormatting>
  <conditionalFormatting sqref="A31:J31">
    <cfRule type="expression" dxfId="3" priority="20">
      <formula>$C$31&lt;$I$31</formula>
    </cfRule>
  </conditionalFormatting>
  <conditionalFormatting sqref="A32:J32">
    <cfRule type="expression" dxfId="3" priority="21">
      <formula>$C$32&lt;$I$32</formula>
    </cfRule>
  </conditionalFormatting>
  <conditionalFormatting sqref="A33:J33">
    <cfRule type="expression" dxfId="3" priority="22">
      <formula>$C$33&lt;$I$33</formula>
    </cfRule>
  </conditionalFormatting>
  <conditionalFormatting sqref="A34:J34">
    <cfRule type="expression" dxfId="3" priority="23">
      <formula>$C$34&lt;$I$34</formula>
    </cfRule>
  </conditionalFormatting>
  <conditionalFormatting sqref="A35:J35">
    <cfRule type="expression" dxfId="3" priority="24">
      <formula>$C$35&lt;$I$35</formula>
    </cfRule>
  </conditionalFormatting>
  <conditionalFormatting sqref="A36:J36">
    <cfRule type="expression" dxfId="3" priority="25">
      <formula>$C$36&lt;$I$36</formula>
    </cfRule>
  </conditionalFormatting>
  <conditionalFormatting sqref="A37:J37">
    <cfRule type="expression" dxfId="3" priority="26">
      <formula>$C$37&lt;$I$37</formula>
    </cfRule>
  </conditionalFormatting>
  <conditionalFormatting sqref="A38:J38">
    <cfRule type="expression" dxfId="3" priority="27">
      <formula>$C$38&lt;$I$38</formula>
    </cfRule>
  </conditionalFormatting>
  <conditionalFormatting sqref="A39:J39">
    <cfRule type="expression" dxfId="3" priority="28">
      <formula>$C$39&lt;$I$39</formula>
    </cfRule>
  </conditionalFormatting>
  <conditionalFormatting sqref="A40:J40">
    <cfRule type="expression" dxfId="3" priority="29">
      <formula>$C$40&lt;$I$40</formula>
    </cfRule>
  </conditionalFormatting>
  <conditionalFormatting sqref="A41:J41">
    <cfRule type="expression" dxfId="4" priority="30">
      <formula>$C$41&lt;$I$41</formula>
    </cfRule>
  </conditionalFormatting>
  <conditionalFormatting sqref="A44:J44">
    <cfRule type="expression" dxfId="4" priority="31">
      <formula>$C$44&lt;$I$44</formula>
    </cfRule>
  </conditionalFormatting>
  <conditionalFormatting sqref="A45:J45">
    <cfRule type="expression" dxfId="4" priority="32">
      <formula>$C$45&lt;$I$45</formula>
    </cfRule>
  </conditionalFormatting>
  <conditionalFormatting sqref="A50:J50">
    <cfRule type="expression" dxfId="3" priority="33">
      <formula>$C$50&lt;$I$50</formula>
    </cfRule>
  </conditionalFormatting>
  <conditionalFormatting sqref="A48:J48">
    <cfRule type="expression" dxfId="3" priority="34">
      <formula>$C$48&lt;$I$48</formula>
    </cfRule>
  </conditionalFormatting>
  <conditionalFormatting sqref="A49:J49">
    <cfRule type="expression" dxfId="3" priority="35">
      <formula>$C$49&lt;$I$49</formula>
    </cfRule>
  </conditionalFormatting>
  <conditionalFormatting sqref="A47:J47">
    <cfRule type="expression" dxfId="3" priority="36">
      <formula>$C$47&lt;$I$47</formula>
    </cfRule>
  </conditionalFormatting>
  <conditionalFormatting sqref="A51:J51">
    <cfRule type="expression" dxfId="3" priority="37">
      <formula>$C$51&lt;$I$51</formula>
    </cfRule>
  </conditionalFormatting>
  <conditionalFormatting sqref="A52:J52">
    <cfRule type="expression" dxfId="3" priority="38">
      <formula>$C$52&lt;$I$52</formula>
    </cfRule>
  </conditionalFormatting>
  <conditionalFormatting sqref="A53:J53">
    <cfRule type="expression" dxfId="3" priority="39">
      <formula>$C$53&lt;$I$53</formula>
    </cfRule>
  </conditionalFormatting>
  <conditionalFormatting sqref="A54:J54">
    <cfRule type="expression" dxfId="3" priority="40">
      <formula>$C$54&lt;$I$54</formula>
    </cfRule>
  </conditionalFormatting>
  <conditionalFormatting sqref="A55:J55">
    <cfRule type="expression" dxfId="3" priority="41">
      <formula>$C$55&lt;$I$55</formula>
    </cfRule>
  </conditionalFormatting>
  <conditionalFormatting sqref="A56:J56">
    <cfRule type="expression" dxfId="3" priority="42">
      <formula>$C$56&lt;$I$56</formula>
    </cfRule>
  </conditionalFormatting>
  <dataValidations>
    <dataValidation type="list" allowBlank="1" sqref="I5">
      <formula1>"ADULT MAINTENANCE,GROWTH &amp; DEVELOPMENT,GESTATION &amp; LACTATION"</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4" width="15.25"/>
    <col customWidth="1" min="5" max="6" width="1.88"/>
    <col customWidth="1" min="7" max="10" width="15.25"/>
  </cols>
  <sheetData>
    <row r="1">
      <c r="A1" s="201" t="str">
        <f>UPPER(CONCATENATE('Unbalanced PMR Recipe'!A11," ANALYSIS"))</f>
        <v>UNBALANCED PMR RECIPE ANALYSIS</v>
      </c>
    </row>
    <row r="2" ht="15.75" customHeight="1">
      <c r="A2" s="305"/>
      <c r="B2" s="284"/>
      <c r="E2" s="306"/>
      <c r="F2" s="306"/>
      <c r="G2" s="306"/>
      <c r="H2" s="284"/>
      <c r="I2" s="306"/>
      <c r="J2" s="306"/>
    </row>
    <row r="3">
      <c r="A3" s="307" t="s">
        <v>140</v>
      </c>
      <c r="B3" s="308"/>
      <c r="C3" s="177"/>
      <c r="D3" s="177"/>
      <c r="E3" s="309"/>
      <c r="F3" s="309"/>
      <c r="G3" s="309"/>
      <c r="H3" s="308"/>
      <c r="I3" s="310" t="s">
        <v>141</v>
      </c>
      <c r="J3" s="177"/>
    </row>
    <row r="4">
      <c r="A4" s="307" t="s">
        <v>142</v>
      </c>
      <c r="B4" s="308"/>
      <c r="C4" s="177"/>
      <c r="D4" s="177"/>
      <c r="E4" s="309"/>
      <c r="F4" s="309"/>
      <c r="G4" s="309"/>
      <c r="H4" s="308"/>
      <c r="I4" s="311" t="str">
        <f>upper(IF('Unbalanced PMR Recipe Data'!D7="Dog","Canine",IF('Unbalanced PMR Recipe Data'!D7="Cat","Feline"," ")))</f>
        <v>CANINE</v>
      </c>
      <c r="J4" s="177"/>
    </row>
    <row r="5">
      <c r="A5" s="312" t="s">
        <v>122</v>
      </c>
      <c r="B5" s="313"/>
      <c r="C5" s="179"/>
      <c r="D5" s="179"/>
      <c r="E5" s="314"/>
      <c r="F5" s="314"/>
      <c r="G5" s="314"/>
      <c r="H5" s="313"/>
      <c r="I5" s="315" t="s">
        <v>201</v>
      </c>
      <c r="J5" s="179"/>
    </row>
    <row r="6">
      <c r="A6" s="312" t="s">
        <v>144</v>
      </c>
      <c r="B6" s="313"/>
      <c r="C6" s="179"/>
      <c r="D6" s="179"/>
      <c r="E6" s="179"/>
      <c r="F6" s="313"/>
      <c r="G6" s="313"/>
      <c r="H6" s="313"/>
      <c r="I6" s="177"/>
      <c r="J6" s="316">
        <f>'Unbalanced PMR Recipe'!L6</f>
        <v>1000</v>
      </c>
    </row>
    <row r="7" ht="15.75" customHeight="1">
      <c r="A7" s="284"/>
      <c r="B7" s="284"/>
      <c r="C7" s="284"/>
      <c r="D7" s="284"/>
      <c r="E7" s="284"/>
      <c r="F7" s="284"/>
      <c r="G7" s="284"/>
      <c r="H7" s="284"/>
      <c r="I7" s="284"/>
      <c r="J7" s="284"/>
    </row>
    <row r="8">
      <c r="A8" s="317" t="s">
        <v>145</v>
      </c>
      <c r="B8" s="318"/>
      <c r="C8" s="319" t="s">
        <v>146</v>
      </c>
      <c r="D8" s="320"/>
      <c r="E8" s="321"/>
      <c r="F8" s="319"/>
      <c r="G8" s="322" t="s">
        <v>147</v>
      </c>
      <c r="H8" s="323"/>
      <c r="I8" s="322" t="s">
        <v>148</v>
      </c>
      <c r="J8" s="323"/>
    </row>
    <row r="9">
      <c r="A9" s="324" t="s">
        <v>149</v>
      </c>
      <c r="B9" s="325"/>
      <c r="C9" s="326">
        <f>sum('Unbalanced PMR Recipe Data'!F22)/('Unbalanced PMR Recipe Data'!F21/'Unbalanced PMR Recipe'!L6)</f>
        <v>133.8422311</v>
      </c>
      <c r="D9" s="327" t="s">
        <v>36</v>
      </c>
      <c r="E9" s="328"/>
      <c r="F9" s="328"/>
      <c r="G9" s="329">
        <f>if(and(I5="Adult Maintenance",I4="Canine"),sum((20/1000)*'Unbalanced PMR Recipe'!L6),if(and(I5="Growth &amp; Development",I4="Canine"),sum((35/1000)*'Unbalanced PMR Recipe'!L6),if(and(I5="Adult Maintenance",I4="Feline"),sum((40/1000)*'Unbalanced PMR Recipe'!L6),if(and(I5="Growth &amp; Development",I4="Feline"),sum((40/1000)*'Unbalanced PMR Recipe'!L6),if(and(I5="Gestation &amp; Lactation",I4="Canine"),sum(( 50/1000)*'Unbalanced PMR Recipe'!L6),
if(and(I5="Gestation &amp; Lactation",I4="Feline"),sum((40/1000)*'Unbalanced PMR Recipe'!L6),""))))))</f>
        <v>35</v>
      </c>
      <c r="H9" s="329" t="str">
        <f t="shared" ref="H9:H22" si="1">D9</f>
        <v>g</v>
      </c>
      <c r="I9" s="329">
        <f>if(and(I5="Adult Maintenance",I4="Canine"),sum((25/1000)*'Unbalanced PMR Recipe'!L6),if(and(I5="Growth &amp; Development",I4="Canine"),sum((43.8/1000)*'Unbalanced PMR Recipe'!L6),if(and(I5="Adult Maintenance",I4="Feline"),sum((50/1000)*'Unbalanced PMR Recipe'!L6),if(and(I5="Growth &amp; Development",I4="Feline"),sum((50/1000)*'Unbalanced PMR Recipe'!L6),if(and(I5="Gestation &amp; Lactation",I4="Canine"),sum(( 50/1000)*'Unbalanced PMR Recipe'!L6),
if(and(I5="Gestation &amp; Lactation",I4="Feline"),sum(( 50/1000)*'Unbalanced PMR Recipe'!L6),""))))))</f>
        <v>43.8</v>
      </c>
      <c r="J9" s="329" t="str">
        <f t="shared" ref="J9:J22" si="2">H9</f>
        <v>g</v>
      </c>
    </row>
    <row r="10">
      <c r="A10" s="330" t="s">
        <v>150</v>
      </c>
      <c r="B10" s="331"/>
      <c r="C10" s="332">
        <f>sum('Unbalanced PMR Recipe Data'!I50)/('Unbalanced PMR Recipe Data'!F21/'Unbalanced PMR Recipe'!L6)</f>
        <v>8.625836377</v>
      </c>
      <c r="D10" s="333" t="s">
        <v>36</v>
      </c>
      <c r="E10" s="334"/>
      <c r="F10" s="334"/>
      <c r="G10" s="335">
        <f>if(and(I5="Adult Maintenance",I4="Canine"),sum((0.7/1000)*'Unbalanced PMR Recipe'!L6),if(and(I5="Growth &amp; Development",I4="Canine"),sum((1.33/1000)*'Unbalanced PMR Recipe'!L6),if(and(I5="Adult Maintenance",I4="Feline"),sum((1.93/1000)*'Unbalanced PMR Recipe'!L6),if(and(I5="Growth &amp; Development",I4="Feline"),sum((1.93/1000)*'Unbalanced PMR Recipe'!L6),if(and(I5="Gestation &amp; Lactation",I4="Canine"),sum((2.5/1000)*'Unbalanced PMR Recipe'!L6),
if(and(I5="Gestation &amp; Lactation",I4="Feline"),sum(( 1.93/1000)*'Unbalanced PMR Recipe'!L6),""))))))</f>
        <v>1.33</v>
      </c>
      <c r="H10" s="336" t="str">
        <f t="shared" si="1"/>
        <v>g</v>
      </c>
      <c r="I10" s="335">
        <f>if(and(I5="Adult Maintenance",I4="Canine"),sum((0.88/1000)*'Unbalanced PMR Recipe'!L6),if(and(I5="Growth &amp; Development",I4="Canine"),sum((1.65/1000)*'Unbalanced PMR Recipe'!L6),if(and(I5="Adult Maintenance",I4="Feline"),sum((1.93/1000)*'Unbalanced PMR Recipe'!L6),if(and(I5="Growth &amp; Development",I4="Feline"),sum((1.93/1000)*'Unbalanced PMR Recipe'!L6),if(and(I5="Gestation &amp; Lactation",I4="Canine"),sum(( 2.5/1000)*'Unbalanced PMR Recipe'!L6),
if(and(I5="Gestation &amp; Lactation",I4="Feline"),sum(( 1.93/1000)*'Unbalanced PMR Recipe'!L6),""))))))</f>
        <v>1.65</v>
      </c>
      <c r="J10" s="336" t="str">
        <f t="shared" si="2"/>
        <v>g</v>
      </c>
    </row>
    <row r="11">
      <c r="A11" s="337" t="s">
        <v>151</v>
      </c>
      <c r="B11" s="338"/>
      <c r="C11" s="339">
        <f>sum('Unbalanced PMR Recipe Data'!I51)/('Unbalanced PMR Recipe Data'!F21/'Unbalanced PMR Recipe'!L6)</f>
        <v>3.624049311</v>
      </c>
      <c r="D11" s="340" t="s">
        <v>36</v>
      </c>
      <c r="E11" s="341"/>
      <c r="F11" s="341"/>
      <c r="G11" s="342">
        <f>if(and(I5="Adult Maintenance",I4="Canine"),sum((0.37/1000)*'Unbalanced PMR Recipe'!L6),if(and(I5="Growth &amp; Development",I4="Canine"),sum((0.5/1000)*'Unbalanced PMR Recipe'!L6),if(and(I5="Adult Maintenance",I4="Feline"),sum((0.65/1000)*'Unbalanced PMR Recipe'!L6),if(and(I5="Growth &amp; Development",I4="Feline"),sum((0.65/1000)*'Unbalanced PMR Recipe'!L6),if(and(I5="Gestation &amp; Lactation",I4="Canine"),sum(( 1.1/1000)*'Unbalanced PMR Recipe'!L6),
if(and(I5="Gestation &amp; Lactation",I4="Feline"),sum(( 0.65/1000)*'Unbalanced PMR Recipe'!L6),""))))))</f>
        <v>0.5</v>
      </c>
      <c r="H11" s="343" t="str">
        <f t="shared" si="1"/>
        <v>g</v>
      </c>
      <c r="I11" s="342">
        <f>if(and(I5="Adult Maintenance",I4="Canine"),sum((0.48/1000)*'Unbalanced PMR Recipe'!L6),if(and(I5="Growth &amp; Development",I4="Canine"),sum((0.63/1000)*'Unbalanced PMR Recipe'!L6),if(and(I5="Adult Maintenance",I4="Feline"),sum((0.65/1000)*'Unbalanced PMR Recipe'!L6),if(and(I5="Growth &amp; Development",I4="Feline"),sum((0.65/1000)*'Unbalanced PMR Recipe'!L6),if(and(I5="Gestation &amp; Lactation",I4="Canine"),sum(( 1.1/1000)*'Unbalanced PMR Recipe'!L6),
if(and(I5="Gestation &amp; Lactation",I4="Feline"),sum(( 0.65/1000)*'Unbalanced PMR Recipe'!L6),""))))))</f>
        <v>0.63</v>
      </c>
      <c r="J11" s="343" t="str">
        <f t="shared" si="2"/>
        <v>g</v>
      </c>
    </row>
    <row r="12">
      <c r="A12" s="330" t="s">
        <v>152</v>
      </c>
      <c r="B12" s="331"/>
      <c r="C12" s="332">
        <f>sum('Unbalanced PMR Recipe Data'!I52)/('Unbalanced PMR Recipe Data'!F21/'Unbalanced PMR Recipe'!L6)</f>
        <v>5.600803481</v>
      </c>
      <c r="D12" s="333" t="s">
        <v>36</v>
      </c>
      <c r="E12" s="334"/>
      <c r="F12" s="334"/>
      <c r="G12" s="335">
        <f>if(and(I5="Adult Maintenance",I4="Canine"),sum((0.75/1000)*'Unbalanced PMR Recipe'!L6),if(and(I5="Growth &amp; Development",I4="Canine"),sum((1/1000)*'Unbalanced PMR Recipe'!L6),if(and(I5="Adult Maintenance",I4="Feline"),sum((1.08/1000)*'Unbalanced PMR Recipe'!L6),if(and(I5="Growth &amp; Development",I4="Feline"),sum((1.08/1000)*'Unbalanced PMR Recipe'!L6),if(and(I5="Gestation &amp; Lactation",I4="Canine"),sum(( 1.78/1000)*'Unbalanced PMR Recipe'!L6),
if(and(I5="Gestation &amp; Lactation",I4="Feline"),sum(( 1.08/1000)*'Unbalanced PMR Recipe'!L6),""))))))</f>
        <v>1</v>
      </c>
      <c r="H12" s="336" t="str">
        <f t="shared" si="1"/>
        <v>g</v>
      </c>
      <c r="I12" s="335">
        <f>if(and(I5="Adult Maintenance",I4="Canine"),sum((0.95/1000)*'Unbalanced PMR Recipe'!L6),if(and(I5="Growth &amp; Development",I4="Canine"),sum((1.25/1000)*'Unbalanced PMR Recipe'!L6),if(and(I5="Adult Maintenance",I4="Feline"),sum((1.08/1000)*'Unbalanced PMR Recipe'!L6),if(and(I5="Growth &amp; Development",I4="Feline"),sum((1.08/1000)*'Unbalanced PMR Recipe'!L6),if(and(I5="Gestation &amp; Lactation",I4="Canine"),sum(( 1.78/1000)*'Unbalanced PMR Recipe'!L6),
if(and(I5="Gestation &amp; Lactation",I4="Feline"),sum(( 1.08/1000)*'Unbalanced PMR Recipe'!L6),""))))))</f>
        <v>1.25</v>
      </c>
      <c r="J12" s="336" t="str">
        <f t="shared" si="2"/>
        <v>g</v>
      </c>
    </row>
    <row r="13">
      <c r="A13" s="337" t="s">
        <v>153</v>
      </c>
      <c r="B13" s="338"/>
      <c r="C13" s="339">
        <f>sum('Unbalanced PMR Recipe Data'!I53)/('Unbalanced PMR Recipe Data'!F21/'Unbalanced PMR Recipe'!L6)</f>
        <v>2.995082075</v>
      </c>
      <c r="D13" s="340" t="s">
        <v>36</v>
      </c>
      <c r="E13" s="341"/>
      <c r="F13" s="341"/>
      <c r="G13" s="342">
        <f>if(and(I5="Adult Maintenance",I4="Canine"),sum((0.65/1000)*'Unbalanced PMR Recipe'!L6),if(and(I5="Growth &amp; Development",I4="Canine"),sum((0.53/1000)*'Unbalanced PMR Recipe'!L6),if(and(I5="Adult Maintenance",I4="Feline"),sum((0.34/1000)*'Unbalanced PMR Recipe'!L6),if(and(I5="Growth &amp; Development",I4="Feline"),sum((0.34/1000)*'Unbalanced PMR Recipe'!L6),if(and(I5="Gestation &amp; Lactation",I4="Canine"),sum(( 0.78/1000)*'Unbalanced PMR Recipe'!L6),
if(and(I5="Gestation &amp; Lactation",I4="Feline"),sum((0.34/1000)*'Unbalanced PMR Recipe'!L6),""))))))</f>
        <v>0.53</v>
      </c>
      <c r="H13" s="343" t="str">
        <f t="shared" si="1"/>
        <v>g</v>
      </c>
      <c r="I13" s="342">
        <f>if(and(I5="Adult Maintenance",I4="Canine"),sum((0.83/1000)*'Unbalanced PMR Recipe'!L6),if(and(I5="Growth &amp; Development",I4="Canine"),sum((0.65/1000)*'Unbalanced PMR Recipe'!L6),if(and(I5="Adult Maintenance",I4="Feline"),sum((0.43/1000)*'Unbalanced PMR Recipe'!L6),if(and(I5="Growth &amp; Development",I4="Feline"),sum((0.43/1000)*'Unbalanced PMR Recipe'!L6),if(and(I5="Gestation &amp; Lactation",I4="Canine"),sum(( 0.78/1000)*'Unbalanced PMR Recipe'!L6),
if(and(I5="Gestation &amp; Lactation",I4="Feline"),sum(( 0.43/1000)*'Unbalanced PMR Recipe'!L6),""))))))</f>
        <v>0.65</v>
      </c>
      <c r="J13" s="343" t="str">
        <f t="shared" si="2"/>
        <v>g</v>
      </c>
    </row>
    <row r="14">
      <c r="A14" s="330" t="s">
        <v>154</v>
      </c>
      <c r="B14" s="331"/>
      <c r="C14" s="332">
        <f>sum('Unbalanced PMR Recipe Data'!I55)/('Unbalanced PMR Recipe Data'!F21/'Unbalanced PMR Recipe'!L6)</f>
        <v>4.732229679</v>
      </c>
      <c r="D14" s="333" t="s">
        <v>36</v>
      </c>
      <c r="E14" s="334"/>
      <c r="F14" s="334"/>
      <c r="G14" s="335">
        <f>if(and(I5="Adult Maintenance",I4="Canine"),sum((1.3/1000)*'Unbalanced PMR Recipe'!L6),if(and(I5="Growth &amp; Development",I4="Canine"),sum((1.05/1000)*'Unbalanced PMR Recipe'!L6),if(and(I5="Adult Maintenance",I4="Feline"),sum((0.68/1000)*'Unbalanced PMR Recipe'!L6),if(and(I5="Growth &amp; Development",I4="Feline"),sum((0.68/1000)*'Unbalanced PMR Recipe'!L6),if(and(I5="Gestation &amp; Lactation",I4="Canine"),sum(( 1.55/1000)*'Unbalanced PMR Recipe'!L6),
if(and(I5="Gestation &amp; Lactation",I4="Feline"),sum((0.68/1000)*'Unbalanced PMR Recipe'!L6),""))))))</f>
        <v>1.05</v>
      </c>
      <c r="H14" s="336" t="str">
        <f t="shared" si="1"/>
        <v>g</v>
      </c>
      <c r="I14" s="335">
        <f>if(and(I5="Adult Maintenance",I4="Canine"),sum((1.63/1000)*'Unbalanced PMR Recipe'!L6),if(and(I5="Growth &amp; Development",I4="Canine"),sum((1.33/1000)*'Unbalanced PMR Recipe'!L6),if(and(I5="Adult Maintenance",I4="Feline"),sum((0.85/1000)*'Unbalanced PMR Recipe'!L6),if(and(I5="Growth &amp; Development",I4="Feline"),sum((0.85/1000)*'Unbalanced PMR Recipe'!L6),if(and(I5="Gestation &amp; Lactation",I4="Canine"),sum(( 1.55/1000)*'Unbalanced PMR Recipe'!L6),
if(and(I5="Gestation &amp; Lactation",I4="Feline"),sum(( 0.85/1000)*'Unbalanced PMR Recipe'!L6),""))))))</f>
        <v>1.33</v>
      </c>
      <c r="J14" s="336" t="str">
        <f t="shared" si="2"/>
        <v>g</v>
      </c>
    </row>
    <row r="15">
      <c r="A15" s="337" t="s">
        <v>155</v>
      </c>
      <c r="B15" s="338"/>
      <c r="C15" s="339">
        <f>sum('Unbalanced PMR Recipe Data'!I56)/('Unbalanced PMR Recipe Data'!F21/'Unbalanced PMR Recipe'!L6)</f>
        <v>10.75234465</v>
      </c>
      <c r="D15" s="340" t="s">
        <v>36</v>
      </c>
      <c r="E15" s="341"/>
      <c r="F15" s="341"/>
      <c r="G15" s="342">
        <f>if(and(I5="Adult Maintenance",I4="Canine"),sum((1.35/1000)*'Unbalanced PMR Recipe'!L6),if(and(I5="Growth &amp; Development",I4="Canine"),sum((1.63/1000)*'Unbalanced PMR Recipe'!L6),if(and(I5="Adult Maintenance",I4="Feline"),sum((2.55/1000)*'Unbalanced PMR Recipe'!L6),if(and(I5="Growth &amp; Development",I4="Feline"),sum((2.55/1000)*'Unbalanced PMR Recipe'!L6),if(and(I5="Gestation &amp; Lactation",I4="Canine"),sum((5/1000)*'Unbalanced PMR Recipe'!L6),
if(and(I5="Gestation &amp; Lactation",I4="Feline"),sum((2.55/1000)*'Unbalanced PMR Recipe'!L6),""))))))</f>
        <v>1.63</v>
      </c>
      <c r="H15" s="343" t="str">
        <f t="shared" si="1"/>
        <v>g</v>
      </c>
      <c r="I15" s="342">
        <f>if(and(I5="Adult Maintenance",I4="Canine"),sum((1.7/1000)*'Unbalanced PMR Recipe'!L6),if(and(I5="Growth &amp; Development",I4="Canine"),sum((2.05/1000)*'Unbalanced PMR Recipe'!L6),if(and(I5="Adult Maintenance",I4="Feline"),sum((2.55/1000)*'Unbalanced PMR Recipe'!L6),if(and(I5="Growth &amp; Development",I4="Feline"),sum((2.55/1000)*'Unbalanced PMR Recipe'!L6),if(and(I5="Gestation &amp; Lactation",I4="Canine"),sum(( 5/1000)*'Unbalanced PMR Recipe'!L6),
if(and(I5="Gestation &amp; Lactation",I4="Feline"),sum(( 2.55/1000)*'Unbalanced PMR Recipe'!L6),""))))))</f>
        <v>2.05</v>
      </c>
      <c r="J15" s="343" t="str">
        <f t="shared" si="2"/>
        <v>g</v>
      </c>
    </row>
    <row r="16">
      <c r="A16" s="330" t="s">
        <v>156</v>
      </c>
      <c r="B16" s="331"/>
      <c r="C16" s="332">
        <f>sum('Unbalanced PMR Recipe Data'!I57)/('Unbalanced PMR Recipe Data'!F21/'Unbalanced PMR Recipe'!L6)</f>
        <v>11.77067256</v>
      </c>
      <c r="D16" s="333" t="s">
        <v>36</v>
      </c>
      <c r="E16" s="334"/>
      <c r="F16" s="334"/>
      <c r="G16" s="335">
        <f>if(and(I5="Adult Maintenance",I4="Canine"),sum((0.7/1000)*'Unbalanced PMR Recipe'!L6),if(and(I5="Growth &amp; Development",I4="Canine"),sum((1.4/1000)*'Unbalanced PMR Recipe'!L6),if(and(I5="Adult Maintenance",I4="Feline"),sum((0.68/1000)*'Unbalanced PMR Recipe'!L6),if(and(I5="Growth &amp; Development",I4="Feline"),sum((0.68/1000)*'Unbalanced PMR Recipe'!L6),if(and(I5="Gestation &amp; Lactation",I4="Canine"),sum(( 2.25/1000)*'Unbalanced PMR Recipe'!L6),
if(and(I5="Gestation &amp; Lactation",I4="Feline"),sum((0.68/1000)*'Unbalanced PMR Recipe'!L6),""))))))</f>
        <v>1.4</v>
      </c>
      <c r="H16" s="336" t="str">
        <f t="shared" si="1"/>
        <v>g</v>
      </c>
      <c r="I16" s="335">
        <f>if(and(I5="Adult Maintenance",I4="Canine"),sum((0.88/1000)*'Unbalanced PMR Recipe'!L6),if(and(I5="Growth &amp; Development",I4="Canine"),sum((1.75/1000)*'Unbalanced PMR Recipe'!L6),if(and(I5="Adult Maintenance",I4="Feline"),sum((0.85/1000)*'Unbalanced PMR Recipe'!L6),if(and(I5="Growth &amp; Development",I4="Feline"),sum((0.85/1000)*'Unbalanced PMR Recipe'!L6),if(and(I5="Gestation &amp; Lactation",I4="Canine"),sum(( 2.25/1000)*'Unbalanced PMR Recipe'!L6),
if(and(I5="Gestation &amp; Lactation",I4="Feline"),sum(( 0.85/1000)*'Unbalanced PMR Recipe'!L6),""))))))</f>
        <v>1.75</v>
      </c>
      <c r="J16" s="336" t="str">
        <f t="shared" si="2"/>
        <v>g</v>
      </c>
    </row>
    <row r="17">
      <c r="A17" s="337" t="s">
        <v>157</v>
      </c>
      <c r="B17" s="338"/>
      <c r="C17" s="339">
        <f>sum('Unbalanced PMR Recipe Data'!I58)/('Unbalanced PMR Recipe Data'!F21/'Unbalanced PMR Recipe'!L6)</f>
        <v>5.610787088</v>
      </c>
      <c r="D17" s="340" t="s">
        <v>36</v>
      </c>
      <c r="E17" s="341"/>
      <c r="F17" s="341"/>
      <c r="G17" s="342">
        <f>if(and(I5="Adult Maintenance",I4="Canine"),sum((0.9/1000)*'Unbalanced PMR Recipe'!L6),if(and(I5="Growth &amp; Development",I4="Canine"),sum((1/1000)*'Unbalanced PMR Recipe'!L6),if(and(I5="Adult Maintenance",I4="Feline"),sum((1/1000)*'Unbalanced PMR Recipe'!L6),if(and(I5="Growth &amp; Development",I4="Feline"),sum((1/1000)*'Unbalanced PMR Recipe'!L6),if(and(I5="Gestation &amp; Lactation",I4="Canine"),sum(( 2.08/1000)*'Unbalanced PMR Recipe'!L6),
if(and(I5="Gestation &amp; Lactation",I4="Feline"),sum(( 1/1000)*'Unbalanced PMR Recipe'!L6),""))))))</f>
        <v>1</v>
      </c>
      <c r="H17" s="343" t="str">
        <f t="shared" si="1"/>
        <v>g</v>
      </c>
      <c r="I17" s="342">
        <f>if(and(I5="Adult Maintenance",I4="Canine"),sum((1.13/1000)*'Unbalanced PMR Recipe'!L6),if(and(I5="Growth &amp; Development",I4="Canine"),sum((1.25/1000)*'Unbalanced PMR Recipe'!L6),if(and(I5="Adult Maintenance",I4="Feline"),sum((1/1000)*'Unbalanced PMR Recipe'!L6),if(and(I5="Growth &amp; Development",I4="Feline"),sum((1/1000)*'Unbalanced PMR Recipe'!L6),if(and(I5="Gestation &amp; Lactation",I4="Canine"),sum(( 2.08/1000)*'Unbalanced PMR Recipe'!L6),
if(and(I5="Gestation &amp; Lactation",I4="Feline"),sum(( 1/1000)*'Unbalanced PMR Recipe'!L6),""))))))</f>
        <v>1.25</v>
      </c>
      <c r="J17" s="343" t="str">
        <f t="shared" si="2"/>
        <v>g</v>
      </c>
    </row>
    <row r="18">
      <c r="A18" s="330" t="s">
        <v>158</v>
      </c>
      <c r="B18" s="331"/>
      <c r="C18" s="332">
        <f>sum('Unbalanced PMR Recipe Data'!I60)/('Unbalanced PMR Recipe Data'!F21/'Unbalanced PMR Recipe'!L6)</f>
        <v>10.45283644</v>
      </c>
      <c r="D18" s="333" t="s">
        <v>36</v>
      </c>
      <c r="E18" s="334"/>
      <c r="F18" s="334"/>
      <c r="G18" s="335">
        <f>if(and(I5="Adult Maintenance",I4="Canine"),sum((1.48/1000)*'Unbalanced PMR Recipe'!L6),if(and(I5="Growth &amp; Development",I4="Canine"),sum((2/1000)*'Unbalanced PMR Recipe'!L6),if(and(I5="Adult Maintenance",I4="Feline"),sum((3.83/1000)*'Unbalanced PMR Recipe'!L6),if(and(I5="Growth &amp; Development",I4="Feline"),sum((3.83/1000)*'Unbalanced PMR Recipe'!L6),if(and(I5="Gestation &amp; Lactation",I4="Canine"),sum(( 3.08/1000)*'Unbalanced PMR Recipe'!L6),
if(and(I5="Gestation &amp; Lactation",I4="Feline"),sum(( 3.83/1000)*'Unbalanced PMR Recipe'!L6),""))))))</f>
        <v>2</v>
      </c>
      <c r="H18" s="336" t="str">
        <f t="shared" si="1"/>
        <v>g</v>
      </c>
      <c r="I18" s="335">
        <f>if(and(I5="Adult Maintenance",I4="Canine"),sum((1.85/1000)*'Unbalanced PMR Recipe'!L6),if(and(I5="Growth &amp; Development",I4="Canine"),sum((2.5/1000)*'Unbalanced PMR Recipe'!L6),if(and(I5="Adult Maintenance",I4="Feline"),sum((3.83/1000)*'Unbalanced PMR Recipe'!L6),if(and(I5="Growth &amp; Development",I4="Feline"),sum((3.83/1000)*'Unbalanced PMR Recipe'!L6),if(and(I5="Gestation &amp; Lactation",I4="Canine"),sum(( 3.08/1000)*'Unbalanced PMR Recipe'!L6),
if(and(I5="Gestation &amp; Lactation",I4="Feline"),sum(( 3.83/1000)*'Unbalanced PMR Recipe'!L6),""))))))</f>
        <v>2.5</v>
      </c>
      <c r="J18" s="336" t="str">
        <f t="shared" si="2"/>
        <v>g</v>
      </c>
    </row>
    <row r="19">
      <c r="A19" s="337" t="s">
        <v>159</v>
      </c>
      <c r="B19" s="338"/>
      <c r="C19" s="339">
        <f>sum('Unbalanced PMR Recipe Data'!I61)/('Unbalanced PMR Recipe Data'!F21/'Unbalanced PMR Recipe'!L6)</f>
        <v>5.870360867</v>
      </c>
      <c r="D19" s="340" t="s">
        <v>36</v>
      </c>
      <c r="E19" s="341"/>
      <c r="F19" s="341"/>
      <c r="G19" s="342">
        <f>if(and(I5="Adult Maintenance",I4="Canine"),sum((0.85/1000)*'Unbalanced PMR Recipe'!L6),if(and(I5="Growth &amp; Development",I4="Canine"),sum((1.25/1000)*'Unbalanced PMR Recipe'!L6),if(and(I5="Adult Maintenance",I4="Feline"),sum((1.3/1000)*'Unbalanced PMR Recipe'!L6),if(and(I5="Growth &amp; Development",I4="Feline"),sum((1.3/1000)*'Unbalanced PMR Recipe'!L6),if(and(I5="Gestation &amp; Lactation",I4="Canine"),sum(( 2.6/1000)*'Unbalanced PMR Recipe'!L6),
if(and(I5="Gestation &amp; Lactation",I4="Feline"),sum(( 1.3/1000)*'Unbalanced PMR Recipe'!L6),""))))))</f>
        <v>1.25</v>
      </c>
      <c r="H19" s="343" t="str">
        <f t="shared" si="1"/>
        <v>g</v>
      </c>
      <c r="I19" s="342">
        <f>if(and(I5="Adult Maintenance",I4="Canine"),sum((1.08/1000)*'Unbalanced PMR Recipe'!L6),if(and(I5="Growth &amp; Development",I4="Canine"),sum((1.58/1000)*'Unbalanced PMR Recipe'!L6),if(and(I5="Adult Maintenance",I4="Feline"),sum((1.3/1000)*'Unbalanced PMR Recipe'!L6),if(and(I5="Growth &amp; Development",I4="Feline"),sum((1.3/1000)*'Unbalanced PMR Recipe'!L6),if(and(I5="Gestation &amp; Lactation",I4="Canine"),sum(( 2.6/1000)*'Unbalanced PMR Recipe'!L6),
if(and(I5="Gestation &amp; Lactation",I4="Feline"),sum(( 1.3/1000)*'Unbalanced PMR Recipe'!L6),""))))))</f>
        <v>1.58</v>
      </c>
      <c r="J19" s="343" t="str">
        <f t="shared" si="2"/>
        <v>g</v>
      </c>
    </row>
    <row r="20">
      <c r="A20" s="330" t="s">
        <v>160</v>
      </c>
      <c r="B20" s="331"/>
      <c r="C20" s="332">
        <f>sum('Unbalanced PMR Recipe Data'!I62)/('Unbalanced PMR Recipe Data'!F21/'Unbalanced PMR Recipe'!L6)</f>
        <v>1.747131211</v>
      </c>
      <c r="D20" s="333" t="s">
        <v>36</v>
      </c>
      <c r="E20" s="334"/>
      <c r="F20" s="334"/>
      <c r="G20" s="335">
        <f>if(and(I5="Adult Maintenance",I4="Canine"),sum((0.28/1000)*'Unbalanced PMR Recipe'!L6),if(and(I5="Growth &amp; Development",I4="Canine"),sum((0.35/1000)*'Unbalanced PMR Recipe'!L6),if(and(I5="Adult Maintenance",I4="Feline"),sum((0.33/1000)*'Unbalanced PMR Recipe'!L6),if(and(I5="Growth &amp; Development",I4="Feline"),sum((0.33/1000)*'Unbalanced PMR Recipe'!L6),if(and(I5="Gestation &amp; Lactation",I4="Canine"),sum(( 0.3/1000)*'Unbalanced PMR Recipe'!L6),
if(and(I5="Gestation &amp; Lactation",I4="Feline"),sum(( 0.33/1000)*'Unbalanced PMR Recipe'!L6),""))))))</f>
        <v>0.35</v>
      </c>
      <c r="H20" s="336" t="str">
        <f t="shared" si="1"/>
        <v>g</v>
      </c>
      <c r="I20" s="335">
        <f>if(and(I5="Adult Maintenance",I4="Canine"),sum((0.35/1000)*'Unbalanced PMR Recipe'!L6),if(and(I5="Growth &amp; Development",I4="Canine"),sum((0.45/1000)*'Unbalanced PMR Recipe'!L6),if(and(I5="Adult Maintenance",I4="Feline"),sum((0.33/1000)*'Unbalanced PMR Recipe'!L6),if(and(I5="Growth &amp; Development",I4="Feline"),sum((0.33/1000)*'Unbalanced PMR Recipe'!L6),if(and(I5="Gestation &amp; Lactation",I4="Canine"),sum(( 0.3/1000)*'Unbalanced PMR Recipe'!L6),
if(and(I5="Gestation &amp; Lactation",I4="Feline"),sum(( 0.33/1000)*'Unbalanced PMR Recipe'!L6),""))))))</f>
        <v>0.45</v>
      </c>
      <c r="J20" s="336" t="str">
        <f t="shared" si="2"/>
        <v>g</v>
      </c>
    </row>
    <row r="21">
      <c r="A21" s="344" t="s">
        <v>161</v>
      </c>
      <c r="B21" s="345"/>
      <c r="C21" s="339">
        <f>sum('Unbalanced PMR Recipe Data'!I63)/('Unbalanced PMR Recipe Data'!F21/'Unbalanced PMR Recipe'!L6)</f>
        <v>6.299655965</v>
      </c>
      <c r="D21" s="340" t="s">
        <v>36</v>
      </c>
      <c r="E21" s="341"/>
      <c r="F21" s="341"/>
      <c r="G21" s="342">
        <f>if(and(I5="Adult Maintenance",I4="Canine"),sum((0.98/1000)*'Unbalanced PMR Recipe'!L6),if(and(I5="Growth &amp; Development",I4="Canine"),sum((1.13/1000)*'Unbalanced PMR Recipe'!L6),if(and(I5="Adult Maintenance",I4="Feline"),sum((1.28/1000)*'Unbalanced PMR Recipe'!L6),if(and(I5="Growth &amp; Development",I4="Feline"),sum((1.28/1000)*'Unbalanced PMR Recipe'!L6),if(and(I5="Gestation &amp; Lactation",I4="Canine"),sum(( 3.25/1000)*'Unbalanced PMR Recipe'!L6),
if(and(I5="Gestation &amp; Lactation",I4="Feline"),sum(( 1.28/1000)*'Unbalanced PMR Recipe'!L6),""))))))</f>
        <v>1.13</v>
      </c>
      <c r="H21" s="343" t="str">
        <f t="shared" si="1"/>
        <v>g</v>
      </c>
      <c r="I21" s="342">
        <f>if(and(I5="Adult Maintenance",I4="Canine"),sum((1.23/1000)*'Unbalanced PMR Recipe'!L6),if(and(I5="Growth &amp; Development",I4="Canine"),sum((1.4/1000)*'Unbalanced PMR Recipe'!L6),if(and(I5="Adult Maintenance",I4="Feline"),sum((1.28/1000)*'Unbalanced PMR Recipe'!L6),if(and(I5="Growth &amp; Development",I4="Feline"),sum((1.28/1000)*'Unbalanced PMR Recipe'!L6),if(and(I5="Gestation &amp; Lactation",I4="Canine"),sum(( 3.25/1000)*'Unbalanced PMR Recipe'!L6),
if(and(I5="Gestation &amp; Lactation",I4="Feline"),sum(( 1.28/1000)*'Unbalanced PMR Recipe'!L6),""))))))</f>
        <v>1.4</v>
      </c>
      <c r="J21" s="343" t="str">
        <f t="shared" si="2"/>
        <v>g</v>
      </c>
    </row>
    <row r="22">
      <c r="A22" s="346" t="s">
        <v>162</v>
      </c>
      <c r="B22" s="347"/>
      <c r="C22" s="348">
        <f>sum('Unbalanced PMR Recipe Data'!I66)/('Unbalanced PMR Recipe Data'!F21/'Unbalanced PMR Recipe'!L6)</f>
        <v>0</v>
      </c>
      <c r="D22" s="349" t="s">
        <v>36</v>
      </c>
      <c r="E22" s="350"/>
      <c r="F22" s="350"/>
      <c r="G22" s="351">
        <f>if(and(I5="Adult Maintenance",I4="Feline"),sum((0.08/1000)*'Unbalanced PMR Recipe'!L6),if(and(I5="Growth &amp; Development",I4="Feline"),sum((0.1/1000)*'Unbalanced PMR Recipe'!L6),if(and(I5="Gestation &amp; Lactation",I4="Feline"),sum((0.08/1000)*'Unbalanced PMR Recipe'!L6),0)))</f>
        <v>0</v>
      </c>
      <c r="H22" s="352" t="str">
        <f t="shared" si="1"/>
        <v>g</v>
      </c>
      <c r="I22" s="351">
        <f>if(and(I5="Adult Maintenance",I4="Feline"),sum((0.1/1000)*'Unbalanced PMR Recipe'!L6),if(and(I5="Growth &amp; Development",I4="Feline"),sum((0.1/1000)*'Unbalanced PMR Recipe'!L6),if(and(I5="Gestation &amp; Lactation",I4="Feline"),sum((0.1/1000)*'Unbalanced PMR Recipe'!L6),0)))</f>
        <v>0</v>
      </c>
      <c r="J22" s="352" t="str">
        <f t="shared" si="2"/>
        <v>g</v>
      </c>
    </row>
    <row r="23">
      <c r="A23" s="317" t="s">
        <v>163</v>
      </c>
      <c r="B23" s="318"/>
      <c r="C23" s="353" t="s">
        <v>146</v>
      </c>
      <c r="D23" s="320"/>
      <c r="E23" s="354"/>
      <c r="F23" s="354"/>
      <c r="G23" s="353" t="s">
        <v>147</v>
      </c>
      <c r="H23" s="320"/>
      <c r="I23" s="353" t="s">
        <v>148</v>
      </c>
      <c r="J23" s="323"/>
    </row>
    <row r="24">
      <c r="A24" s="355" t="s">
        <v>164</v>
      </c>
      <c r="B24" s="356"/>
      <c r="C24" s="326">
        <f>sum('Unbalanced PMR Recipe Data'!F23)/('Unbalanced PMR Recipe Data'!F21/'Unbalanced PMR Recipe'!L6)</f>
        <v>47.4540804</v>
      </c>
      <c r="D24" s="327" t="s">
        <v>36</v>
      </c>
      <c r="E24" s="328"/>
      <c r="F24" s="328"/>
      <c r="G24" s="329">
        <f>if(and(I5="Adult Maintenance",I4="Canine"),sum((10/1000)*'Unbalanced PMR Recipe'!L6),if(and(I5="Growth &amp; Development",I4="Canine"),sum((21.3/1000)*'Unbalanced PMR Recipe'!L6),if(and(I5="Adult Maintenance",I4="Feline"),sum((22.5/1000)*'Unbalanced PMR Recipe'!L6),if(and(I5="Growth &amp; Development",I4="Feline"),sum((22.5/1000)*'Unbalanced PMR Recipe'!L6),
if(and(I5="Gestation &amp; Lactation",I4="Canine"),sum(( 21.3/1000)*'Unbalanced PMR Recipe'!L6),
if(and(I5="Gestation &amp; Lactation",I4="Feline"),sum(( 22.5/1000)*'Unbalanced PMR Recipe'!L6),""))))))</f>
        <v>21.3</v>
      </c>
      <c r="H24" s="329" t="str">
        <f t="shared" ref="H24:H28" si="3">D24</f>
        <v>g</v>
      </c>
      <c r="I24" s="329">
        <f>if(and(I5="Adult Maintenance",I4="Canine"),sum((13.8/1000)*'Unbalanced PMR Recipe'!L6),if(and(I5="Growth &amp; Development",I4="Canine"),sum((21.3/1000)*'Unbalanced PMR Recipe'!L6),if(and(I5="Adult Maintenance",I4="Feline"),sum((22.5/1000)*'Unbalanced PMR Recipe'!L6),if(and(I5="Growth &amp; Development",I4="Feline"),sum((22.5/1000)*'Unbalanced PMR Recipe'!L6),
if(and(I5="Gestation &amp; Lactation",I4="Canine"),sum(( 21.3/1000)*'Unbalanced PMR Recipe'!L6),
if(and(I5="Gestation &amp; Lactation",I4="Feline"),sum(( 22.5/1000)*'Unbalanced PMR Recipe'!L6),""))))))</f>
        <v>21.3</v>
      </c>
      <c r="J24" s="329" t="str">
        <f t="shared" ref="J24:J28" si="4">H24</f>
        <v>g</v>
      </c>
    </row>
    <row r="25">
      <c r="A25" s="357" t="s">
        <v>165</v>
      </c>
      <c r="B25" s="358"/>
      <c r="C25" s="359">
        <f>sum('Unbalanced PMR Recipe Data'!I69)/('Unbalanced PMR Recipe Data'!F21/'Unbalanced PMR Recipe'!L6)</f>
        <v>9.045147867</v>
      </c>
      <c r="D25" s="333" t="s">
        <v>36</v>
      </c>
      <c r="E25" s="360"/>
      <c r="F25" s="360"/>
      <c r="G25" s="336">
        <f>if(and(I5="Adult Maintenance",I4="Canine"),sum((2.4/1000)*'Unbalanced PMR Recipe'!L6),if(and(I5="Growth &amp; Development",I4="Canine"),sum((3/1000)*'Unbalanced PMR Recipe'!L6),if(and(I5="Adult Maintenance",I4="Feline"),sum((1.4/1000)*'Unbalanced PMR Recipe'!L6),if(and(I5="Growth &amp; Development",I4="Feline"),sum((1.4/1000)*'Unbalanced PMR Recipe'!L6),
if(and(I5="Gestation &amp; Lactation",I4="Canine"),sum(( 2.8/1000)*'Unbalanced PMR Recipe'!L6),
if(and(I5="Gestation &amp; Lactation",I4="Feline"),sum(( 1.4/1000)*'Unbalanced PMR Recipe'!L6),""))))))</f>
        <v>3</v>
      </c>
      <c r="H25" s="336" t="str">
        <f t="shared" si="3"/>
        <v>g</v>
      </c>
      <c r="I25" s="336">
        <f>if(and(I5="Adult Maintenance",I4="Canine"),sum((2.8/1000)*'Unbalanced PMR Recipe'!L6),if(and(I5="Growth &amp; Development",I4="Canine"),sum((3.3/1000)*'Unbalanced PMR Recipe'!L6),if(and(I5="Adult Maintenance",I4="Feline"),sum((1.4/1000)*'Unbalanced PMR Recipe'!L6),if(and(I5="Growth &amp; Development",I4="Feline"),sum((1.4/1000)*'Unbalanced PMR Recipe'!L6),
if(and(I5="Gestation &amp; Lactation",I4="Canine"),sum(( 3.3/1000)*'Unbalanced PMR Recipe'!L6),
if(and(I5="Gestation &amp; Lactation",I4="Feline"),sum(( 1.4/1000)*'Unbalanced PMR Recipe'!L6),""))))))</f>
        <v>3.3</v>
      </c>
      <c r="J25" s="336" t="str">
        <f t="shared" si="4"/>
        <v>g</v>
      </c>
    </row>
    <row r="26">
      <c r="A26" s="361" t="s">
        <v>166</v>
      </c>
      <c r="B26" s="362"/>
      <c r="C26" s="363">
        <f>sum('Unbalanced PMR Recipe Data'!I70)/('Unbalanced PMR Recipe Data'!F21/'Unbalanced PMR Recipe'!L6)</f>
        <v>0.2595737799</v>
      </c>
      <c r="D26" s="340" t="s">
        <v>36</v>
      </c>
      <c r="E26" s="364"/>
      <c r="F26" s="364"/>
      <c r="G26" s="343">
        <f>if(and(I5="Adult Maintenance",I4="Canine"),sum((0.09/1000)*'Unbalanced PMR Recipe'!L6),if(and(I5="Growth &amp; Development",I4="Canine"),sum((0.18/1000)*'Unbalanced PMR Recipe'!L6),if(and(I5="Adult Maintenance",I4="Feline"),sum((0/1000)*'Unbalanced PMR Recipe'!L6),if(and(I5="Growth &amp; Development",I4="Feline"),sum((0/1000)*'Unbalanced PMR Recipe'!L6),
if(and(I5="Gestation &amp; Lactation",I4="Canine"),sum(( 0.18/1000)*'Unbalanced PMR Recipe'!L6),
if(and(I5="Gestation &amp; Lactation",I4="Feline"),sum(( 0/1000)*'Unbalanced PMR Recipe'!L6),""))))))</f>
        <v>0.18</v>
      </c>
      <c r="H26" s="343" t="str">
        <f t="shared" si="3"/>
        <v>g</v>
      </c>
      <c r="I26" s="343">
        <f>if(and(I5="Adult Maintenance",I4="Canine"),sum((0.11/1000)*'Unbalanced PMR Recipe'!L6),if(and(I5="Growth &amp; Development",I4="Canine"),sum((0.2/1000)*'Unbalanced PMR Recipe'!L6),if(and(I5="Adult Maintenance",I4="Feline"),sum((0/1000)*'Unbalanced PMR Recipe'!L6),if(and(I5="Growth &amp; Development",I4="Feline"),sum((0/1000)*'Unbalanced PMR Recipe'!L6),
if(and(I5="Gestation &amp; Lactation",I4="Canine"),sum(( 1.2/1000)*'Unbalanced PMR Recipe'!L6),
if(and(I5="Gestation &amp; Lactation",I4="Feline"),sum(( 0/1000)*'Unbalanced PMR Recipe'!L6),""))))))</f>
        <v>0.2</v>
      </c>
      <c r="J26" s="343" t="str">
        <f t="shared" si="4"/>
        <v>g</v>
      </c>
    </row>
    <row r="27">
      <c r="A27" s="357" t="s">
        <v>167</v>
      </c>
      <c r="B27" s="358"/>
      <c r="C27" s="359">
        <f>sum('Unbalanced PMR Recipe Data'!I71)/('Unbalanced PMR Recipe Data'!F21/'Unbalanced PMR Recipe'!L6)</f>
        <v>0.9584262641</v>
      </c>
      <c r="D27" s="333" t="s">
        <v>36</v>
      </c>
      <c r="E27" s="360"/>
      <c r="F27" s="360"/>
      <c r="G27" s="336">
        <f>if(and(I5="Adult Maintenance",I4="Canine"),sum((0/1000)*'Unbalanced PMR Recipe'!L6),if(and(I5="Growth &amp; Development",I4="Canine"),sum((0.08/1000)*'Unbalanced PMR Recipe'!L6),if(and(I5="Adult Maintenance",I4="Feline"),sum((0/1000)*'Unbalanced PMR Recipe'!L6),if(and(I5="Growth &amp; Development",I4="Feline"),sum((0/1000)*'Unbalanced PMR Recipe'!L6),
if(and(I5="Gestation &amp; Lactation",I4="Canine"),sum(( 0/1000)*'Unbalanced PMR Recipe'!L6),
if(and(I5="Gestation &amp; Lactation",I4="Feline"),sum(( 0.005/1000)*'Unbalanced PMR Recipe'!L6),""))))))</f>
        <v>0.08</v>
      </c>
      <c r="H27" s="336" t="str">
        <f t="shared" si="3"/>
        <v>g</v>
      </c>
      <c r="I27" s="336">
        <f>if(and(I5="Adult Maintenance",I4="Canine"),sum((0/1000)*'Unbalanced PMR Recipe'!L6),if(and(I5="Growth &amp; Development",I4="Canine"),sum((0.08/1000)*'Unbalanced PMR Recipe'!L6),if(and(I5="Adult Maintenance",I4="Feline"),sum((0.015/1000)*'Unbalanced PMR Recipe'!L6),if(and(I5="Growth &amp; Development",I4="Feline"),sum((0.015/1000)*'Unbalanced PMR Recipe'!L6),
if(and(I5="Gestation &amp; Lactation",I4="Canine"),sum(( 0/1000)*'Unbalanced PMR Recipe'!L6),
if(and(I5="Gestation &amp; Lactation",I4="Feline"),sum(( 0.015/1000)*'Unbalanced PMR Recipe'!L6),""))))))</f>
        <v>0.08</v>
      </c>
      <c r="J27" s="336" t="str">
        <f t="shared" si="4"/>
        <v>g</v>
      </c>
    </row>
    <row r="28">
      <c r="A28" s="365" t="s">
        <v>168</v>
      </c>
      <c r="B28" s="366"/>
      <c r="C28" s="367">
        <f>sum('Unbalanced PMR Recipe Data'!I77)/('Unbalanced PMR Recipe Data'!F21/'Unbalanced PMR Recipe'!L6)</f>
        <v>0.08985246226</v>
      </c>
      <c r="D28" s="368" t="s">
        <v>36</v>
      </c>
      <c r="E28" s="369"/>
      <c r="F28" s="369"/>
      <c r="G28" s="370">
        <f>if(and(I5="Adult Maintenance",I4="Canine"),sum((0.11/1000)*'Unbalanced PMR Recipe'!L6),if(and(I5="Growth &amp; Development",I4="Canine"),sum((13/1000)*'Unbalanced PMR Recipe'!L6),if(and(I5="Adult Maintenance",I4="Feline"),sum((0/1000)*'Unbalanced PMR Recipe'!L6),if(and(I5="Growth &amp; Development",I4="Feline"),sum((0/1000)*'Unbalanced PMR Recipe'!L6),
if(and(I5="Gestation &amp; Lactation",I4="Canine"),sum(( 0.13/1000)*'Unbalanced PMR Recipe'!L6),
if(and(I5="Gestation &amp; Lactation",I4="Feline"),sum(( 0.025/1000)*'Unbalanced PMR Recipe'!L6),""))))))</f>
        <v>13</v>
      </c>
      <c r="H28" s="370" t="str">
        <f t="shared" si="3"/>
        <v>g</v>
      </c>
      <c r="I28" s="370">
        <f>if(and(I5="Adult Maintenance",I4="Canine"),sum((0.11/1000)*'Unbalanced PMR Recipe'!L6),if(and(I5="Growth &amp; Development",I4="Canine"),sum((0.13/1000)*'Unbalanced PMR Recipe'!L6),if(and(I5="Adult Maintenance",I4="Feline"),sum((0.025/1000)*'Unbalanced PMR Recipe'!L6),if(and(I5="Growth &amp; Development",I4="Feline"),sum((0.025/1000)*'Unbalanced PMR Recipe'!L6),
if(and(I5="Gestation &amp; Lactation",I4="Canine"),sum(( 0.13/1000)*'Unbalanced PMR Recipe'!L6),
if(and(I5="Gestation &amp; Lactation",I4="Feline"),sum(( 0.025/1000)*'Unbalanced PMR Recipe'!L6),""))))))</f>
        <v>0.13</v>
      </c>
      <c r="J28" s="370" t="str">
        <f t="shared" si="4"/>
        <v>g</v>
      </c>
    </row>
    <row r="29">
      <c r="A29" s="317" t="s">
        <v>169</v>
      </c>
      <c r="B29" s="318"/>
      <c r="C29" s="353" t="s">
        <v>146</v>
      </c>
      <c r="D29" s="320"/>
      <c r="E29" s="354"/>
      <c r="F29" s="354"/>
      <c r="G29" s="353" t="s">
        <v>147</v>
      </c>
      <c r="H29" s="320"/>
      <c r="I29" s="353" t="s">
        <v>148</v>
      </c>
      <c r="J29" s="323"/>
    </row>
    <row r="30">
      <c r="A30" s="355" t="s">
        <v>170</v>
      </c>
      <c r="B30" s="356"/>
      <c r="C30" s="326">
        <f>sum('Unbalanced PMR Recipe Data'!U50)/('Unbalanced PMR Recipe Data'!F21/'Unbalanced PMR Recipe'!L6)</f>
        <v>10637.90256</v>
      </c>
      <c r="D30" s="327" t="s">
        <v>11</v>
      </c>
      <c r="E30" s="328"/>
      <c r="F30" s="328"/>
      <c r="G30" s="329">
        <f>if(and(I5="Adult Maintenance",I4="Canine"),sum((303/1000)*'Unbalanced PMR Recipe'!L6),if(and(I5="Growth &amp; Development",I4="Canine"),sum((330/1000)*'Unbalanced PMR Recipe'!L6),if(and(I5="Adult Maintenance",I4="Feline"),sum((250/1000)*'Unbalanced PMR Recipe'!L6),if(and(I5="Growth &amp; Development",I4="Feline"),sum((250/1000)*'Unbalanced PMR Recipe'!L6),
if(and(I5="Gestation &amp; Lactation",I4="Canine"),sum(( 303/1000)*'Unbalanced PMR Recipe'!L6),
if(and(I5="Gestation &amp; Lactation",I4="Feline"),sum(( 200/1000)*'Unbalanced PMR Recipe'!L6),""))))))</f>
        <v>330</v>
      </c>
      <c r="H30" s="329" t="str">
        <f t="shared" ref="H30:H41" si="5">D30</f>
        <v>mcg</v>
      </c>
      <c r="I30" s="329">
        <f>if(and(I5="Adult Maintenance",I4="Canine"),sum((379/1000)*'Unbalanced PMR Recipe'!L6),if(and(I5="Growth &amp; Development",I4="Canine"),sum((379/1000)*'Unbalanced PMR Recipe'!L6),if(and(I5="Adult Maintenance",I4="Feline"),sum((250/1000)*'Unbalanced PMR Recipe'!L6),if(and(I5="Growth &amp; Development",I4="Feline"),sum((250/1000)*'Unbalanced PMR Recipe'!L6),
if(and(I5="Gestation &amp; Lactation",I4="Canine"),sum(( 379/1000)*'Unbalanced PMR Recipe'!L6),
if(and(I5="Gestation &amp; Lactation",I4="Feline"),sum(( 250/1000)*'Unbalanced PMR Recipe'!L6),""))))))</f>
        <v>379</v>
      </c>
      <c r="J30" s="329" t="str">
        <f t="shared" ref="J30:J41" si="6">H30</f>
        <v>mcg</v>
      </c>
    </row>
    <row r="31">
      <c r="A31" s="357" t="s">
        <v>171</v>
      </c>
      <c r="B31" s="358"/>
      <c r="C31" s="359">
        <f>sum('Unbalanced PMR Recipe Data'!U53)/('Unbalanced PMR Recipe Data'!F21/'Unbalanced PMR Recipe'!L6)</f>
        <v>2.605721405</v>
      </c>
      <c r="D31" s="333" t="s">
        <v>11</v>
      </c>
      <c r="E31" s="360"/>
      <c r="F31" s="360"/>
      <c r="G31" s="336">
        <f>if(and(I5="Adult Maintenance",I4="Canine"),sum((2.75/1000)*'Unbalanced PMR Recipe'!L6),if(and(I5="Growth &amp; Development",I4="Canine"),sum((2.75/1000)*'Unbalanced PMR Recipe'!L6),if(and(I5="Adult Maintenance",I4="Feline"),sum((1.8/1000)*'Unbalanced PMR Recipe'!L6),if(and(I5="Growth &amp; Development",I4="Feline"),sum((1.8/1000)*'Unbalanced PMR Recipe'!L6),
if(and(I5="Gestation &amp; Lactation",I4="Canine"),sum(( 2.75/1000)*'Unbalanced PMR Recipe'!L6),
if(and(I5="Gestation &amp; Lactation",I4="Feline"),sum(( 1.4/1000)*'Unbalanced PMR Recipe'!L6),""))))))</f>
        <v>2.75</v>
      </c>
      <c r="H31" s="336" t="str">
        <f t="shared" si="5"/>
        <v>mcg</v>
      </c>
      <c r="I31" s="336">
        <f>if(and(I5="Adult Maintenance",I4="Canine"),sum((3.4/1000)*'Unbalanced PMR Recipe'!L6),if(and(I5="Growth &amp; Development",I4="Canine"),sum((3.4/1000)*'Unbalanced PMR Recipe'!L6),if(and(I5="Adult Maintenance",I4="Feline"),sum((1.8/1000)*'Unbalanced PMR Recipe'!L6),if(and(I5="Growth &amp; Development",I4="Feline"),sum((1.8/1000)*'Unbalanced PMR Recipe'!L6),
if(and(I5="Gestation &amp; Lactation",I4="Canine"),sum(( 3.4/1000)*'Unbalanced PMR Recipe'!L6),
if(and(I5="Gestation &amp; Lactation",I4="Feline"),sum(( 1.75/1000)*'Unbalanced PMR Recipe'!L6),""))))))</f>
        <v>3.4</v>
      </c>
      <c r="J31" s="336" t="str">
        <f t="shared" si="6"/>
        <v>mcg</v>
      </c>
    </row>
    <row r="32">
      <c r="A32" s="361" t="s">
        <v>172</v>
      </c>
      <c r="B32" s="362"/>
      <c r="C32" s="363">
        <f>'AM Unbalanced PMR Recipe Report'!C32</f>
        <v>1.02</v>
      </c>
      <c r="D32" s="340" t="s">
        <v>26</v>
      </c>
      <c r="E32" s="364"/>
      <c r="F32" s="364"/>
      <c r="G32" s="343">
        <f>if(and(I5="Adult Maintenance",I4="Canine"),sum((6/1000)*'Unbalanced PMR Recipe'!L6),if(and(I5="Growth &amp; Development",I4="Canine"),sum((6/1000)*'Unbalanced PMR Recipe'!L6),if(and(I5="Adult Maintenance",I4="Feline"),sum((10/1000)*'Unbalanced PMR Recipe'!L6),if(and(I5="Growth &amp; Development",I4="Feline"),sum((10/1000)*'Unbalanced PMR Recipe'!L6),
if(and(I5="Gestation &amp; Lactation",I4="Canine"),sum(( 6/1000)*'Unbalanced PMR Recipe'!L6),
if(and(I5="Gestation &amp; Lactation",I4="Feline"),sum(( 7.5/1000)*'Unbalanced PMR Recipe'!L6),""))))))</f>
        <v>6</v>
      </c>
      <c r="H32" s="343" t="str">
        <f t="shared" si="5"/>
        <v>mg</v>
      </c>
      <c r="I32" s="343">
        <f>if(and(I5="Adult Maintenance",I4="Canine"),sum((7.5/1000)*'Unbalanced PMR Recipe'!L6),if(and(I5="Growth &amp; Development",I4="Canine"),sum((7.5/1000)*'Unbalanced PMR Recipe'!L6),if(and(I5="Adult Maintenance",I4="Feline"),sum((10/1000)*'Unbalanced PMR Recipe'!L6),if(and(I5="Growth &amp; Development",I4="Feline"),sum((10/1000)*'Unbalanced PMR Recipe'!L6),
if(and(I5="Gestation &amp; Lactation",I4="Canine"),sum(( 7.5/1000)*'Unbalanced PMR Recipe'!L6),
if(and(I5="Gestation &amp; Lactation",I4="Feline"),sum(( 10/1000)*'Unbalanced PMR Recipe'!L6),""))))))</f>
        <v>7.5</v>
      </c>
      <c r="J32" s="343" t="str">
        <f t="shared" si="6"/>
        <v>mg</v>
      </c>
    </row>
    <row r="33">
      <c r="A33" s="357" t="s">
        <v>173</v>
      </c>
      <c r="B33" s="358"/>
      <c r="C33" s="359">
        <f>sum('Unbalanced PMR Recipe Data'!U60)/('Unbalanced PMR Recipe Data'!F21/'Unbalanced PMR Recipe'!L6)</f>
        <v>1.048278726</v>
      </c>
      <c r="D33" s="333" t="s">
        <v>26</v>
      </c>
      <c r="E33" s="360"/>
      <c r="F33" s="360"/>
      <c r="G33" s="336">
        <f>if(and(I5="Adult Maintenance",I4="Canine"),sum((0.45/1000)*'Unbalanced PMR Recipe'!L6),if(and(I5="Growth &amp; Development",I4="Canine"),sum((0.27/1000)*'Unbalanced PMR Recipe'!L6),if(and(I5="Adult Maintenance",I4="Feline"),sum((1.4/1000)*'Unbalanced PMR Recipe'!L6),if(and(I5="Growth &amp; Development",I4="Feline"),sum((1.1/1000)*'Unbalanced PMR Recipe'!L6),
if(and(I5="Gestation &amp; Lactation",I4="Canine"),sum(( 0.45/1000)*'Unbalanced PMR Recipe'!L6),
if(and(I5="Gestation &amp; Lactation",I4="Feline"),sum(( 1.1/1000)*'Unbalanced PMR Recipe'!L6),""))))))</f>
        <v>0.27</v>
      </c>
      <c r="H33" s="336" t="str">
        <f t="shared" si="5"/>
        <v>mg</v>
      </c>
      <c r="I33" s="336">
        <f>if(and(I5="Adult Maintenance",I4="Canine"),sum((0.56/1000)*'Unbalanced PMR Recipe'!L6),if(and(I5="Growth &amp; Development",I4="Canine"),sum((0.34/1000)*'Unbalanced PMR Recipe'!L6),if(and(I5="Adult Maintenance",I4="Feline"),sum((1.4/1000)*'Unbalanced PMR Recipe'!L6),if(and(I5="Growth &amp; Development",I4="Feline"),sum((1.4/1000)*'Unbalanced PMR Recipe'!L6),
if(and(I5="Gestation &amp; Lactation",I4="Canine"),sum(( 0.56/1000)*'Unbalanced PMR Recipe'!L6),
if(and(I5="Gestation &amp; Lactation",I4="Feline"),sum(( 1.4/1000)*'Unbalanced PMR Recipe'!L6),""))))))</f>
        <v>0.34</v>
      </c>
      <c r="J33" s="336" t="str">
        <f t="shared" si="6"/>
        <v>mg</v>
      </c>
    </row>
    <row r="34">
      <c r="A34" s="361" t="s">
        <v>174</v>
      </c>
      <c r="B34" s="362"/>
      <c r="C34" s="363">
        <f>sum('Unbalanced PMR Recipe Data'!U61)/('Unbalanced PMR Recipe Data'!F21/'Unbalanced PMR Recipe'!L6)</f>
        <v>6.109967433</v>
      </c>
      <c r="D34" s="340" t="s">
        <v>26</v>
      </c>
      <c r="E34" s="364"/>
      <c r="F34" s="364"/>
      <c r="G34" s="343">
        <f>if(and(I5="Adult Maintenance",I4="Canine"),sum((1.05/1000)*'Unbalanced PMR Recipe'!L6),if(and(I5="Growth &amp; Development",I4="Canine"),sum((1.05/1000)*'Unbalanced PMR Recipe'!L6),if(and(I5="Adult Maintenance",I4="Feline"),sum((1/1000)*'Unbalanced PMR Recipe'!L6),if(and(I5="Growth &amp; Development",I4="Feline"),sum((1/1000)*'Unbalanced PMR Recipe'!L6),
if(and(I5="Gestation &amp; Lactation",I4="Canine"),sum(( 1.05/1000)*'Unbalanced PMR Recipe'!L6),
if(and(I5="Gestation &amp; Lactation",I4="Feline"),sum(( 0.8/1000)*'Unbalanced PMR Recipe'!L6),""))))))</f>
        <v>1.05</v>
      </c>
      <c r="H34" s="343" t="str">
        <f t="shared" si="5"/>
        <v>mg</v>
      </c>
      <c r="I34" s="343">
        <f>if(and(I5="Adult Maintenance",I4="Canine"),sum((1.3/1000)*'Unbalanced PMR Recipe'!L6),if(and(I5="Growth &amp; Development",I4="Canine"),sum((1.32/1000)*'Unbalanced PMR Recipe'!L6),if(and(I5="Adult Maintenance",I4="Feline"),sum((1/1000)*'Unbalanced PMR Recipe'!L6),if(and(I5="Growth &amp; Development",I4="Feline"),sum((1/1000)*'Unbalanced PMR Recipe'!L6),
if(and(I5="Gestation &amp; Lactation",I4="Canine"),sum(( 1.3/1000)*'Unbalanced PMR Recipe'!L6),
if(and(I5="Gestation &amp; Lactation",I4="Feline"),sum(( 1/1000)*'Unbalanced PMR Recipe'!L6),""))))))</f>
        <v>1.32</v>
      </c>
      <c r="J34" s="343" t="str">
        <f t="shared" si="6"/>
        <v>mg</v>
      </c>
    </row>
    <row r="35">
      <c r="A35" s="357" t="s">
        <v>175</v>
      </c>
      <c r="B35" s="358"/>
      <c r="C35" s="359">
        <f>sum('Unbalanced PMR Recipe Data'!U62)/('Unbalanced PMR Recipe Data'!F21/'Unbalanced PMR Recipe'!L6)</f>
        <v>58.70360867</v>
      </c>
      <c r="D35" s="333" t="s">
        <v>26</v>
      </c>
      <c r="E35" s="360"/>
      <c r="F35" s="360"/>
      <c r="G35" s="336">
        <f>if(and(I5="Adult Maintenance",I4="Canine"),sum((3.4/1000)*'Unbalanced PMR Recipe'!L6),if(and(I5="Growth &amp; Development",I4="Canine"),sum((3.4/1000)*'Unbalanced PMR Recipe'!L6),if(and(I5="Adult Maintenance",I4="Feline"),sum((10/1000)*'Unbalanced PMR Recipe'!L6),if(and(I5="Growth &amp; Development",I4="Feline"),sum((10/1000)*'Unbalanced PMR Recipe'!L6),
if(and(I5="Gestation &amp; Lactation",I4="Canine"),sum(( 3.4/1000)*'Unbalanced PMR Recipe'!L6),
if(and(I5="Gestation &amp; Lactation",I4="Feline"),sum(( 8/1000)*'Unbalanced PMR Recipe'!L6),""))))))</f>
        <v>3.4</v>
      </c>
      <c r="H35" s="336" t="str">
        <f t="shared" si="5"/>
        <v>mg</v>
      </c>
      <c r="I35" s="336">
        <f>if(and(I5="Adult Maintenance",I4="Canine"),sum((4.25/1000)*'Unbalanced PMR Recipe'!L6),if(and(I5="Growth &amp; Development",I4="Canine"),sum((4.25/1000)*'Unbalanced PMR Recipe'!L6),if(and(I5="Adult Maintenance",I4="Feline"),sum((10/1000)*'Unbalanced PMR Recipe'!L6),if(and(I5="Growth &amp; Development",I4="Feline"),sum((10/1000)*'Unbalanced PMR Recipe'!L6),
if(and(I5="Gestation &amp; Lactation",I4="Canine"),sum(( 4.25/1000)*'Unbalanced PMR Recipe'!L6),
if(and(I5="Gestation &amp; Lactation",I4="Feline"),sum(( 10/1000)*'Unbalanced PMR Recipe'!L6),""))))))</f>
        <v>4.25</v>
      </c>
      <c r="J35" s="336" t="str">
        <f t="shared" si="6"/>
        <v>mg</v>
      </c>
    </row>
    <row r="36">
      <c r="A36" s="361" t="s">
        <v>176</v>
      </c>
      <c r="B36" s="362"/>
      <c r="C36" s="363">
        <f>sum('Unbalanced PMR Recipe Data'!U63)/('Unbalanced PMR Recipe Data'!F21/'Unbalanced PMR Recipe'!L6)</f>
        <v>18.51959083</v>
      </c>
      <c r="D36" s="340" t="s">
        <v>26</v>
      </c>
      <c r="E36" s="364"/>
      <c r="F36" s="364"/>
      <c r="G36" s="343">
        <f>if(and(I5="Adult Maintenance",I4="Canine"),sum((3/1000)*'Unbalanced PMR Recipe'!L6),if(and(I5="Growth &amp; Development",I4="Canine"),sum((3/1000)*'Unbalanced PMR Recipe'!L6),if(and(I5="Adult Maintenance",I4="Feline"),sum((1.2/1000)*'Unbalanced PMR Recipe'!L6),if(and(I5="Growth &amp; Development",I4="Feline"),sum((1.2/1000)*'Unbalanced PMR Recipe'!L6),
if(and(I5="Gestation &amp; Lactation",I4="Canine"),sum(( 3/1000)*'Unbalanced PMR Recipe'!L6),
if(and(I5="Gestation &amp; Lactation",I4="Feline"),sum(( 1.15/1000)*'Unbalanced PMR Recipe'!L6),""))))))</f>
        <v>3</v>
      </c>
      <c r="H36" s="343" t="str">
        <f t="shared" si="5"/>
        <v>mg</v>
      </c>
      <c r="I36" s="343">
        <f>if(and(I5="Adult Maintenance",I4="Canine"),sum((3.75/1000)*'Unbalanced PMR Recipe'!L6),if(and(I5="Growth &amp; Development",I4="Canine"),sum((3.75/1000)*'Unbalanced PMR Recipe'!L6),if(and(I5="Adult Maintenance",I4="Feline"),sum((1.4/1000)*'Unbalanced PMR Recipe'!L6),if(and(I5="Growth &amp; Development",I4="Feline"),sum((1.4/1000)*'Unbalanced PMR Recipe'!L6),
if(and(I5="Gestation &amp; Lactation",I4="Canine"),sum(( 3.75/1000)*'Unbalanced PMR Recipe'!L6),
if(and(I5="Gestation &amp; Lactation",I4="Feline"),sum(( 1.44/1000)*'Unbalanced PMR Recipe'!L6),""))))))</f>
        <v>3.75</v>
      </c>
      <c r="J36" s="343" t="str">
        <f t="shared" si="6"/>
        <v>mg</v>
      </c>
    </row>
    <row r="37">
      <c r="A37" s="357" t="s">
        <v>177</v>
      </c>
      <c r="B37" s="358"/>
      <c r="C37" s="359">
        <f>sum('Unbalanced PMR Recipe Data'!U64)/('Unbalanced PMR Recipe Data'!F21/'Unbalanced PMR Recipe'!L6)</f>
        <v>4.462672292</v>
      </c>
      <c r="D37" s="333" t="s">
        <v>26</v>
      </c>
      <c r="E37" s="360"/>
      <c r="F37" s="360"/>
      <c r="G37" s="336">
        <f>if(and(I5="Adult Maintenance",I4="Canine"),sum((0.3/1000)*'Unbalanced PMR Recipe'!L6),if(and(I5="Growth &amp; Development",I4="Canine"),sum((0.3/1000)*'Unbalanced PMR Recipe'!L6),if(and(I5="Adult Maintenance",I4="Feline"),sum((0.5/1000)*'Unbalanced PMR Recipe'!L6),if(and(I5="Growth &amp; Development",I4="Feline"),sum((0.5/1000)*'Unbalanced PMR Recipe'!L6),
if(and(I5="Gestation &amp; Lactation",I4="Canine"),sum(( 1.3/1000)*'Unbalanced PMR Recipe'!L6),
if(and(I5="Gestation &amp; Lactation",I4="Feline"),sum(( 0.5/1000)*'Unbalanced PMR Recipe'!L6),""))))))</f>
        <v>0.3</v>
      </c>
      <c r="H37" s="336" t="str">
        <f t="shared" si="5"/>
        <v>mg</v>
      </c>
      <c r="I37" s="336">
        <f>if(and(I5="Adult Maintenance",I4="Canine"),sum((0.375/1000)*'Unbalanced PMR Recipe'!L6),if(and(I5="Growth &amp; Development",I4="Canine"),sum((0.375/1000)*'Unbalanced PMR Recipe'!L6),if(and(I5="Adult Maintenance",I4="Feline"),sum((0.6/1000)*'Unbalanced PMR Recipe'!L6),if(and(I5="Growth &amp; Development",I4="Feline"),sum((0.6/1000)*'Unbalanced PMR Recipe'!L6),
if(and(I5="Gestation &amp; Lactation",I4="Canine"),sum(( 0.375/1000)*'Unbalanced PMR Recipe'!L6),
if(and(I5="Gestation &amp; Lactation",I4="Feline"),sum(( 0.625/1000)*'Unbalanced PMR Recipe'!L6),""))))))</f>
        <v>0.375</v>
      </c>
      <c r="J37" s="336" t="str">
        <f t="shared" si="6"/>
        <v>mg</v>
      </c>
    </row>
    <row r="38">
      <c r="A38" s="361" t="s">
        <v>178</v>
      </c>
      <c r="B38" s="362"/>
      <c r="C38" s="363">
        <f>sum('Unbalanced PMR Recipe Data'!U65)/('Unbalanced PMR Recipe Data'!F21/'Unbalanced PMR Recipe'!L6)</f>
        <v>272.3428131</v>
      </c>
      <c r="D38" s="340" t="s">
        <v>11</v>
      </c>
      <c r="E38" s="364"/>
      <c r="F38" s="371"/>
      <c r="G38" s="372">
        <f>if(and(I5="Adult Maintenance",I4="Feline"),sum((15/1000)*'Unbalanced PMR Recipe'!L6),if(and(I5="Growth &amp; Development",I4="Feline"),sum((15/1000)*'Unbalanced PMR Recipe'!L6),if(and(I5="Gestation &amp; Lactation",I4="Feline"),sum((15/1000)*'Unbalanced PMR Recipe'!L6),0)))</f>
        <v>0</v>
      </c>
      <c r="H38" s="343" t="str">
        <f t="shared" si="5"/>
        <v>mcg</v>
      </c>
      <c r="I38" s="372">
        <f>if(and(I5="Adult Maintenance",I4="Feline"),sum((18.75/1000)*'Unbalanced PMR Recipe'!L6),if(and(I5="Growth &amp; Development",I4="Feline"),sum((18.75/1000)*'Unbalanced PMR Recipe'!L6),if(and(I5="Gestation &amp; Lactation",I4="Feline"),sum((18.75/1000)*'Unbalanced PMR Recipe'!L6),0)))</f>
        <v>0</v>
      </c>
      <c r="J38" s="343" t="str">
        <f t="shared" si="6"/>
        <v>mcg</v>
      </c>
    </row>
    <row r="39">
      <c r="A39" s="357" t="s">
        <v>179</v>
      </c>
      <c r="B39" s="358"/>
      <c r="C39" s="359">
        <f>sum('Unbalanced PMR Recipe Data'!U66)/('Unbalanced PMR Recipe Data'!F21/'Unbalanced PMR Recipe'!L6)</f>
        <v>910.3252459</v>
      </c>
      <c r="D39" s="333" t="s">
        <v>11</v>
      </c>
      <c r="E39" s="360"/>
      <c r="F39" s="360"/>
      <c r="G39" s="336">
        <f>if(and(I5="Adult Maintenance",I4="Canine"),sum((54/1000)*'Unbalanced PMR Recipe'!L6),if(and(I5="Growth &amp; Development",I4="Canine"),sum((54/1000)*'Unbalanced PMR Recipe'!L6),if(and(I5="Adult Maintenance",I4="Feline"),sum((188/1000)*'Unbalanced PMR Recipe'!L6),if(and(I5="Growth &amp; Development",I4="Feline"),sum((188/1000)*'Unbalanced PMR Recipe'!L6),
if(and(I5="Gestation &amp; Lactation",I4="Canine"),sum(( 54/1000)*'Unbalanced PMR Recipe'!L6),
if(and(I5="Gestation &amp; Lactation",I4="Feline"),sum(( 150/1000)*'Unbalanced PMR Recipe'!L6),""))))))</f>
        <v>54</v>
      </c>
      <c r="H39" s="336" t="str">
        <f t="shared" si="5"/>
        <v>mcg</v>
      </c>
      <c r="I39" s="336">
        <f>if(and(I5="Adult Maintenance",I4="Canine"),sum((67.5/1000)*'Unbalanced PMR Recipe'!L6),if(and(I5="Growth &amp; Development",I4="Canine"),sum((68/1000)*'Unbalanced PMR Recipe'!L6),if(and(I5="Adult Maintenance",I4="Feline"),sum((188/1000)*'Unbalanced PMR Recipe'!L6),if(and(I5="Growth &amp; Development",I4="Feline"),sum((188/1000)*'Unbalanced PMR Recipe'!L6),
if(and(I5="Gestation &amp; Lactation",I4="Canine"),sum(( 67.5/1000)*'Unbalanced PMR Recipe'!L6),
if(and(I5="Gestation &amp; Lactation",I4="Feline"),sum(( 188/1000)*'Unbalanced PMR Recipe'!L6),""))))))</f>
        <v>68</v>
      </c>
      <c r="J39" s="336" t="str">
        <f t="shared" si="6"/>
        <v>mcg</v>
      </c>
    </row>
    <row r="40">
      <c r="A40" s="361" t="s">
        <v>180</v>
      </c>
      <c r="B40" s="362"/>
      <c r="C40" s="363">
        <f>sum('Unbalanced PMR Recipe Data'!U67)/('Unbalanced PMR Recipe Data'!F21/'Unbalanced PMR Recipe'!L6)</f>
        <v>84.98046208</v>
      </c>
      <c r="D40" s="340" t="s">
        <v>11</v>
      </c>
      <c r="E40" s="364"/>
      <c r="F40" s="364"/>
      <c r="G40" s="343">
        <f>if(and(I5="Adult Maintenance",I4="Canine"),sum((7/1000)*'Unbalanced PMR Recipe'!L6),if(and(I5="Growth &amp; Development",I4="Canine"),sum((7/1000)*'Unbalanced PMR Recipe'!L6),if(and(I5="Adult Maintenance",I4="Feline"),sum((5.6/1000)*'Unbalanced PMR Recipe'!L6),if(and(I5="Growth &amp; Development",I4="Feline"),sum((5.6/1000)*'Unbalanced PMR Recipe'!L6),
if(and(I5="Gestation &amp; Lactation",I4="Canine"),sum(( 7/1000)*'Unbalanced PMR Recipe'!L6),
if(and(I5="Gestation &amp; Lactation",I4="Feline"),sum(( 4.5/1000)*'Unbalanced PMR Recipe'!L6),""))))))</f>
        <v>7</v>
      </c>
      <c r="H40" s="343" t="str">
        <f t="shared" si="5"/>
        <v>mcg</v>
      </c>
      <c r="I40" s="343">
        <f>if(and(I5="Adult Maintenance",I4="Canine"),sum((8.75/1000)*'Unbalanced PMR Recipe'!L6),if(and(I5="Growth &amp; Development",I4="Canine"),sum((8.75/1000)*'Unbalanced PMR Recipe'!L6),if(and(I5="Adult Maintenance",I4="Feline"),sum((5.6/1000)*'Unbalanced PMR Recipe'!L6),if(and(I5="Growth &amp; Development",I4="Feline"),sum((5.6/1000)*'Unbalanced PMR Recipe'!L6),
if(and(I5="Gestation &amp; Lactation",I4="Canine"),sum(( 8.75/1000)*'Unbalanced PMR Recipe'!L6),
if(and(I5="Gestation &amp; Lactation",I4="Feline"),sum(( 5.6/1000)*'Unbalanced PMR Recipe'!L6),""))))))</f>
        <v>8.75</v>
      </c>
      <c r="J40" s="343" t="str">
        <f t="shared" si="6"/>
        <v>mcg</v>
      </c>
    </row>
    <row r="41">
      <c r="A41" s="373" t="s">
        <v>181</v>
      </c>
      <c r="B41" s="374"/>
      <c r="C41" s="375">
        <f>sum('Unbalanced PMR Recipe Data'!U68)/('Unbalanced PMR Recipe Data'!F21/'Unbalanced PMR Recipe'!L6)</f>
        <v>577.9210536</v>
      </c>
      <c r="D41" s="376" t="s">
        <v>11</v>
      </c>
      <c r="E41" s="377"/>
      <c r="F41" s="377"/>
      <c r="G41" s="378">
        <f>if(and(I5="Adult Maintenance",I4="Canine"),sum((340/1000)*'Unbalanced PMR Recipe'!L6),if(and(I5="Growth &amp; Development",I4="Canine"),sum((340/1000)*'Unbalanced PMR Recipe'!L6),if(and(I5="Adult Maintenance",I4="Feline"),sum((510/1000)*'Unbalanced PMR Recipe'!L6),if(and(I5="Growth &amp; Development",I4="Feline"),sum((510/1000)*'Unbalanced PMR Recipe'!L6),
if(and(I5="Gestation &amp; Lactation",I4="Canine"),sum(( 340/1000)*'Unbalanced PMR Recipe'!L6),
if(and(I5="Gestation &amp; Lactation",I4="Feline"),sum(( 510/1000)*'Unbalanced PMR Recipe'!L6),""))))))</f>
        <v>340</v>
      </c>
      <c r="H41" s="378" t="str">
        <f t="shared" si="5"/>
        <v>mcg</v>
      </c>
      <c r="I41" s="378">
        <f>if(and(I5="Adult Maintenance",I4="Canine"),sum((425/1000)*'Unbalanced PMR Recipe'!L6),if(and(I5="Growth &amp; Development",I4="Canine"),sum((425/1000)*'Unbalanced PMR Recipe'!L6),if(and(I5="Adult Maintenance",I4="Feline"),sum((637/1000)*'Unbalanced PMR Recipe'!L6),if(and(I5="Growth &amp; Development",I4="Feline"),sum((637/1000)*'Unbalanced PMR Recipe'!L6),
if(and(I5="Gestation &amp; Lactation",I4="Canine"),sum(( 425/1000)*'Unbalanced PMR Recipe'!L6),
if(and(I5="Gestation &amp; Lactation",I4="Feline"),sum(( 637/1000)*'Unbalanced PMR Recipe'!L6),""))))))</f>
        <v>425</v>
      </c>
      <c r="J41" s="378" t="str">
        <f t="shared" si="6"/>
        <v>mcg</v>
      </c>
    </row>
    <row r="42" hidden="1">
      <c r="A42" s="379" t="s">
        <v>182</v>
      </c>
      <c r="B42" s="380"/>
      <c r="C42" s="380"/>
      <c r="D42" s="380"/>
      <c r="E42" s="380"/>
      <c r="F42" s="380"/>
      <c r="G42" s="380"/>
      <c r="H42" s="380"/>
      <c r="I42" s="380"/>
      <c r="J42" s="380"/>
    </row>
    <row r="43" ht="15.75" customHeight="1">
      <c r="A43" s="317" t="s">
        <v>183</v>
      </c>
      <c r="B43" s="381"/>
      <c r="C43" s="353" t="s">
        <v>146</v>
      </c>
      <c r="D43" s="320"/>
      <c r="E43" s="354"/>
      <c r="F43" s="354"/>
      <c r="G43" s="353" t="s">
        <v>147</v>
      </c>
      <c r="H43" s="320"/>
      <c r="I43" s="353" t="s">
        <v>148</v>
      </c>
      <c r="J43" s="323"/>
    </row>
    <row r="44" ht="15.75" customHeight="1">
      <c r="A44" s="355" t="s">
        <v>184</v>
      </c>
      <c r="B44" s="356"/>
      <c r="C44" s="326">
        <f>sum('Unbalanced PMR Recipe Data'!U72)/('Unbalanced PMR Recipe Data'!F21/'Unbalanced PMR Recipe'!L6)</f>
        <v>2.695573868</v>
      </c>
      <c r="D44" s="327" t="s">
        <v>36</v>
      </c>
      <c r="E44" s="328"/>
      <c r="F44" s="328"/>
      <c r="G44" s="329">
        <f>if(and(I5="Adult Maintenance",I4="Canine"),sum((0.5/1000)*'Unbalanced PMR Recipe'!L6),if(and(I5="Growth &amp; Development",I4="Canine"),sum((2/1000)*'Unbalanced PMR Recipe'!L6),if(and(I5="Adult Maintenance",I4="Feline"),sum((0.4/1000)*'Unbalanced PMR Recipe'!L6),if(and(I5="Growth &amp; Development",I4="Feline"),sum((1.3/1000)*'Unbalanced PMR Recipe'!L6),
if(and(I5="Gestation &amp; Lactation",I4="Canine"),sum(( 1.9/1000)*'Unbalanced PMR Recipe'!L6),
if(and(I5="Gestation &amp; Lactation",I4="Feline"),sum(( 0.4/1000)*'Unbalanced PMR Recipe'!L6),""))))))</f>
        <v>2</v>
      </c>
      <c r="H44" s="329" t="str">
        <f t="shared" ref="H44:H45" si="7">D44</f>
        <v>g</v>
      </c>
      <c r="I44" s="329">
        <f>if(and(I5="Adult Maintenance",I4="Canine"),sum((1/1000)*'Unbalanced PMR Recipe'!L6),if(and(I5="Growth &amp; Development",I4="Canine"),sum((3/1000)*'Unbalanced PMR Recipe'!L6),if(and(I5="Adult Maintenance",I4="Feline"),sum((0.7/1000)*'Unbalanced PMR Recipe'!L6),if(and(I5="Growth &amp; Development",I4="Feline"),sum((2/1000)*'Unbalanced PMR Recipe'!L6),
if(and(I5="Gestation &amp; Lactation",I4="Canine"),sum(( 1.9/1000)*'Unbalanced PMR Recipe'!L6),
if(and(I5="Gestation &amp; Lactation",I4="Feline"),sum(( 0.72/1000)*'Unbalanced PMR Recipe'!L6),""))))))</f>
        <v>3</v>
      </c>
      <c r="J44" s="329" t="str">
        <f t="shared" ref="J44:J45" si="8">H44</f>
        <v>g</v>
      </c>
    </row>
    <row r="45">
      <c r="A45" s="357" t="s">
        <v>185</v>
      </c>
      <c r="B45" s="358"/>
      <c r="C45" s="359">
        <f>sum('Unbalanced PMR Recipe Data'!U74)/('Unbalanced PMR Recipe Data'!F21/'Unbalanced PMR Recipe'!L6)</f>
        <v>2.645655833</v>
      </c>
      <c r="D45" s="333" t="s">
        <v>36</v>
      </c>
      <c r="E45" s="360"/>
      <c r="F45" s="360"/>
      <c r="G45" s="336">
        <f>if(and(I5="Adult Maintenance",I4="Canine"),sum((0.75/1000)*'Unbalanced PMR Recipe'!L6),if(and(I5="Growth &amp; Development",I4="Canine"),sum((2.5/1000)*'Unbalanced PMR Recipe'!L6),if(and(I5="Adult Maintenance",I4="Feline"),sum((0.4/1000)*'Unbalanced PMR Recipe'!L6),if(and(I5="Growth &amp; Development",I4="Feline"),sum((1.2/1000)*'Unbalanced PMR Recipe'!L6),
if(and(I5="Gestation &amp; Lactation",I4="Canine"),sum(( 1.2/1000)*'Unbalanced PMR Recipe'!L6),
if(and(I5="Gestation &amp; Lactation",I4="Feline"),sum(( 0.35/1000)*'Unbalanced PMR Recipe'!L6),""))))))</f>
        <v>2.5</v>
      </c>
      <c r="H45" s="336" t="str">
        <f t="shared" si="7"/>
        <v>g</v>
      </c>
      <c r="I45" s="336">
        <f>if(and(I5="Adult Maintenance",I4="Canine"),sum((0.75/1000)*'Unbalanced PMR Recipe'!L6),if(and(I5="Growth &amp; Development",I4="Canine"),sum((2.5/1000)*'Unbalanced PMR Recipe'!L6),if(and(I5="Adult Maintenance",I4="Feline"),sum((0.6/1000)*'Unbalanced PMR Recipe'!L6),if(and(I5="Growth &amp; Development",I4="Feline"),sum((1.8/1000)*'Unbalanced PMR Recipe'!L6),
if(and(I5="Gestation &amp; Lactation",I4="Canine"),sum(( 1.2/1000)*'Unbalanced PMR Recipe'!L6),
if(and(I5="Gestation &amp; Lactation",I4="Feline"),sum(( 0.64/1000)*'Unbalanced PMR Recipe'!L6),""))))))</f>
        <v>2.5</v>
      </c>
      <c r="J45" s="336" t="str">
        <f t="shared" si="8"/>
        <v>g</v>
      </c>
    </row>
    <row r="46" hidden="1">
      <c r="A46" s="382" t="s">
        <v>186</v>
      </c>
      <c r="B46" s="383"/>
      <c r="C46" s="383"/>
      <c r="D46" s="383"/>
      <c r="E46" s="383"/>
      <c r="F46" s="383"/>
      <c r="G46" s="383"/>
      <c r="H46" s="383"/>
      <c r="I46" s="383"/>
      <c r="J46" s="383"/>
    </row>
    <row r="47">
      <c r="A47" s="357" t="s">
        <v>187</v>
      </c>
      <c r="B47" s="358"/>
      <c r="C47" s="359">
        <f>sum('Unbalanced PMR Recipe Data'!U76)/('Unbalanced PMR Recipe Data'!F21/'Unbalanced PMR Recipe'!L6)</f>
        <v>208.5874993</v>
      </c>
      <c r="D47" s="333" t="s">
        <v>26</v>
      </c>
      <c r="E47" s="360"/>
      <c r="F47" s="360"/>
      <c r="G47" s="336">
        <f>if(and(I5="Adult Maintenance",I4="Canine"),sum((45/1000)*'Unbalanced PMR Recipe'!L6),if(and(I5="Growth &amp; Development",I4="Canine"),sum((45/1000)*'Unbalanced PMR Recipe'!L6),if(and(I5="Adult Maintenance",I4="Feline"),sum((50/1000)*'Unbalanced PMR Recipe'!L6),if(and(I5="Growth &amp; Development",I4="Feline"),sum((40/1000)*'Unbalanced PMR Recipe'!L6),
if(and(I5="Gestation &amp; Lactation",I4="Canine"),sum(( 150/1000)*'Unbalanced PMR Recipe'!L6),
if(and(I5="Gestation &amp; Lactation",I4="Feline"),sum(( 50/1000)*'Unbalanced PMR Recipe'!L6),""))))))</f>
        <v>45</v>
      </c>
      <c r="H47" s="336" t="str">
        <f t="shared" ref="H47:H56" si="9">D47</f>
        <v>mg</v>
      </c>
      <c r="I47" s="336">
        <f>if(and(I5="Adult Maintenance",I4="Canine"),sum((150/1000)*'Unbalanced PMR Recipe'!L6),if(and(I5="Growth &amp; Development",I4="Canine"),sum((100/1000)*'Unbalanced PMR Recipe'!L6),if(and(I5="Adult Maintenance",I4="Feline"),sum((100/1000)*'Unbalanced PMR Recipe'!L6),if(and(I5="Growth &amp; Development",I4="Feline"),sum((100/1000)*'Unbalanced PMR Recipe'!L6),
if(and(I5="Gestation &amp; Lactation",I4="Canine"),sum(( 150/1000)*'Unbalanced PMR Recipe'!L6),
if(and(I5="Gestation &amp; Lactation",I4="Feline"),sum(( 100/1000)*'Unbalanced PMR Recipe'!L6),""))))))</f>
        <v>100</v>
      </c>
      <c r="J47" s="336" t="str">
        <f t="shared" ref="J47:J56" si="10">H47</f>
        <v>mg</v>
      </c>
    </row>
    <row r="48">
      <c r="A48" s="361" t="s">
        <v>188</v>
      </c>
      <c r="B48" s="362"/>
      <c r="C48" s="363">
        <f>sum('Unbalanced PMR Recipe Data'!U78)/('Unbalanced PMR Recipe Data'!F21/'Unbalanced PMR Recipe'!L6)</f>
        <v>719.937862</v>
      </c>
      <c r="D48" s="340" t="s">
        <v>26</v>
      </c>
      <c r="E48" s="364"/>
      <c r="F48" s="364"/>
      <c r="G48" s="343">
        <f>if(and(I5="Adult Maintenance",I4="Canine"),sum((75/1000)*'Unbalanced PMR Recipe'!L6),if(and(I5="Growth &amp; Development",I4="Canine"),sum((550/1000)*'Unbalanced PMR Recipe'!L6),if(and(I5="Adult Maintenance",I4="Feline"),sum((160/1000)*'Unbalanced PMR Recipe'!L6),if(and(I5="Growth &amp; Development",I4="Feline"),sum((310/1000)*'Unbalanced PMR Recipe'!L6),
if(and(I5="Gestation &amp; Lactation",I4="Canine"),sum(( 500/1000)*'Unbalanced PMR Recipe'!L6),
if(and(I5="Gestation &amp; Lactation",I4="Feline"),sum(( 160/1000)*'Unbalanced PMR Recipe'!L6),""))))))</f>
        <v>550</v>
      </c>
      <c r="H48" s="343" t="str">
        <f t="shared" si="9"/>
        <v>mg</v>
      </c>
      <c r="I48" s="343">
        <f>if(and(I5="Adult Maintenance",I4="Canine"),sum((200/1000)*'Unbalanced PMR Recipe'!L6),if(and(I5="Growth &amp; Development",I4="Canine"),sum((550/1000)*'Unbalanced PMR Recipe'!L6),if(and(I5="Adult Maintenance",I4="Feline"),sum((170/1000)*'Unbalanced PMR Recipe'!L6),if(and(I5="Growth &amp; Development",I4="Feline"),sum((350/1000)*'Unbalanced PMR Recipe'!L6),
if(and(I5="Gestation &amp; Lactation",I4="Canine"),sum(( 500/1000)*'Unbalanced PMR Recipe'!L6),
if(and(I5="Gestation &amp; Lactation",I4="Feline"),sum(( 170/1000)*'Unbalanced PMR Recipe'!L6),""))))))</f>
        <v>550</v>
      </c>
      <c r="J48" s="343" t="str">
        <f t="shared" si="10"/>
        <v>mg</v>
      </c>
    </row>
    <row r="49">
      <c r="A49" s="357" t="s">
        <v>189</v>
      </c>
      <c r="B49" s="358"/>
      <c r="C49" s="359">
        <f>sum('Unbalanced PMR Recipe Data'!U80)/('Unbalanced PMR Recipe Data'!F21/'Unbalanced PMR Recipe'!L6)</f>
        <v>1.627327928</v>
      </c>
      <c r="D49" s="333" t="s">
        <v>36</v>
      </c>
      <c r="E49" s="360"/>
      <c r="F49" s="360"/>
      <c r="G49" s="336">
        <f>if(and(I5="Adult Maintenance",I4="Canine"),sum((1/1000)*'Unbalanced PMR Recipe'!L6),if(and(I5="Growth &amp; Development",I4="Canine"),sum((1.1/1000)*'Unbalanced PMR Recipe'!L6),if(and(I5="Adult Maintenance",I4="Feline"),sum((1.3/1000)*'Unbalanced PMR Recipe'!L6),if(and(I5="Growth &amp; Development",I4="Feline"),sum((0.7/1000)*'Unbalanced PMR Recipe'!L6),
if(and(I5="Gestation &amp; Lactation",I4="Canine"),sum(( 0.9/1000)*'Unbalanced PMR Recipe'!L6),
if(and(I5="Gestation &amp; Lactation",I4="Feline"),sum(( 1.3/1000)*'Unbalanced PMR Recipe'!L6),""))))))</f>
        <v>1.1</v>
      </c>
      <c r="H49" s="336" t="str">
        <f t="shared" si="9"/>
        <v>g</v>
      </c>
      <c r="I49" s="336">
        <f>if(and(I5="Adult Maintenance",I4="Canine"),sum((1/1000)*'Unbalanced PMR Recipe'!L6),if(and(I5="Growth &amp; Development",I4="Canine"),sum((1.1/1000)*'Unbalanced PMR Recipe'!L6),if(and(I5="Adult Maintenance",I4="Feline"),sum((1.3/1000)*'Unbalanced PMR Recipe'!L6),if(and(I5="Growth &amp; Development",I4="Feline"),sum((1/1000)*'Unbalanced PMR Recipe'!L6),
if(and(I5="Gestation &amp; Lactation",I4="Canine"),sum(( 0.9/1000)*'Unbalanced PMR Recipe'!L6),
if(and(I5="Gestation &amp; Lactation",I4="Feline"),sum(( 1.3/1000)*'Unbalanced PMR Recipe'!L6),""))))))</f>
        <v>1.1</v>
      </c>
      <c r="J49" s="336" t="str">
        <f t="shared" si="10"/>
        <v>g</v>
      </c>
    </row>
    <row r="50">
      <c r="A50" s="361" t="s">
        <v>190</v>
      </c>
      <c r="B50" s="362"/>
      <c r="C50" s="363">
        <f>sum('Unbalanced PMR Recipe Data'!U82)/('Unbalanced PMR Recipe Data'!F21/'Unbalanced PMR Recipe'!L6)</f>
        <v>1079.896809</v>
      </c>
      <c r="D50" s="340" t="s">
        <v>26</v>
      </c>
      <c r="E50" s="364"/>
      <c r="F50" s="364"/>
      <c r="G50" s="343">
        <f>if(and(I5="Adult Maintenance",I4="Canine"),sum((300/1000)*'Unbalanced PMR Recipe'!L6),if(and(I5="Growth &amp; Development",I4="Canine"),sum((720/1000)*'Unbalanced PMR Recipe'!L6),if(and(I5="Adult Maintenance",I4="Feline"),sum((240/1000)*'Unbalanced PMR Recipe'!L6),if(and(I5="Growth &amp; Development",I4="Feline"),sum((190/1000)*'Unbalanced PMR Recipe'!L6),
if(and(I5="Gestation &amp; Lactation",I4="Canine"),sum(( 750/1000)*'Unbalanced PMR Recipe'!L6),
if(and(I5="Gestation &amp; Lactation",I4="Feline"),sum(( 240/1000)*'Unbalanced PMR Recipe'!L6),""))))))</f>
        <v>720</v>
      </c>
      <c r="H50" s="343" t="str">
        <f t="shared" si="9"/>
        <v>mg</v>
      </c>
      <c r="I50" s="343">
        <f>if(and(I5="Adult Maintenance",I4="Canine"),sum((300/1000)*'Unbalanced PMR Recipe'!L6),if(and(I5="Growth &amp; Development",I4="Canine"),sum((720/1000)*'Unbalanced PMR Recipe'!L6),if(and(I5="Adult Maintenance",I4="Feline"),sum((240/1000)*'Unbalanced PMR Recipe'!L6),if(and(I5="Growth &amp; Development",I4="Feline"),sum((225/1000)*'Unbalanced PMR Recipe'!L6),
if(and(I5="Gestation &amp; Lactation",I4="Canine"),sum((750/1000)*'Unbalanced PMR Recipe'!L6),
if(and(I5="Gestation &amp; Lactation",I4="Feline"),sum(( 240/1000)*'Unbalanced PMR Recipe'!L6),""))))))</f>
        <v>720</v>
      </c>
      <c r="J50" s="343" t="str">
        <f t="shared" si="10"/>
        <v>mg</v>
      </c>
    </row>
    <row r="51">
      <c r="A51" s="357" t="s">
        <v>191</v>
      </c>
      <c r="B51" s="358"/>
      <c r="C51" s="359">
        <f>sum('Unbalanced PMR Recipe Data'!U83)/('Unbalanced PMR Recipe Data'!F21/'Unbalanced PMR Recipe'!L6)</f>
        <v>25.19862386</v>
      </c>
      <c r="D51" s="333" t="s">
        <v>26</v>
      </c>
      <c r="E51" s="360"/>
      <c r="F51" s="360"/>
      <c r="G51" s="336">
        <f>if(and(I5="Adult Maintenance",I4="Canine"),sum((7.5/1000)*'Unbalanced PMR Recipe'!L6),if(and(I5="Growth &amp; Development",I4="Canine"),sum((18/1000)*'Unbalanced PMR Recipe'!L6),if(and(I5="Adult Maintenance",I4="Feline"),sum((20/1000)*'Unbalanced PMR Recipe'!L6),if(and(I5="Growth &amp; Development",I4="Feline"),sum((17/1000)*'Unbalanced PMR Recipe'!L6),
if(and(I5="Gestation &amp; Lactation",I4="Canine"),sum(( 17/1000)*'Unbalanced PMR Recipe'!L6),
if(and(I5="Gestation &amp; Lactation",I4="Feline"),sum(( 20/1000)*'Unbalanced PMR Recipe'!L6),""))))))</f>
        <v>18</v>
      </c>
      <c r="H51" s="336" t="str">
        <f t="shared" si="9"/>
        <v>mg</v>
      </c>
      <c r="I51" s="336">
        <f>if(and(I5="Adult Maintenance",I4="Canine"),sum((7.5/1000)*'Unbalanced PMR Recipe'!L6),if(and(I5="Growth &amp; Development",I4="Canine"),sum((22/1000)*'Unbalanced PMR Recipe'!L6),if(and(I5="Adult Maintenance",I4="Feline"),sum((20/1000)*'Unbalanced PMR Recipe'!L6),if(and(I5="Growth &amp; Development",I4="Feline"),sum((20/1000)*'Unbalanced PMR Recipe'!L6),
if(and(I5="Gestation &amp; Lactation",I4="Canine"),sum(( 17/1000)*'Unbalanced PMR Recipe'!L6),
if(and(I5="Gestation &amp; Lactation",I4="Feline"),sum(( 20/1000)*'Unbalanced PMR Recipe'!L6),""))))))</f>
        <v>22</v>
      </c>
      <c r="J51" s="336" t="str">
        <f t="shared" si="10"/>
        <v>mg</v>
      </c>
    </row>
    <row r="52">
      <c r="A52" s="361" t="s">
        <v>192</v>
      </c>
      <c r="B52" s="362"/>
      <c r="C52" s="363">
        <f>sum('Unbalanced PMR Recipe Data'!U85)/('Unbalanced PMR Recipe Data'!F21/'Unbalanced PMR Recipe'!L6)</f>
        <v>2.595737799</v>
      </c>
      <c r="D52" s="340" t="s">
        <v>26</v>
      </c>
      <c r="E52" s="364"/>
      <c r="F52" s="364"/>
      <c r="G52" s="343">
        <f>if(and(I5="Adult Maintenance",I4="Canine"),sum((1.5/1000)*'Unbalanced PMR Recipe'!L6),if(and(I5="Growth &amp; Development",I4="Canine"),sum((2.7/1000)*'Unbalanced PMR Recipe'!L6),if(and(I5="Adult Maintenance",I4="Feline"),sum((1.2/1000)*'Unbalanced PMR Recipe'!L6),if(and(I5="Growth &amp; Development",I4="Feline"),sum((1.2/1000)*'Unbalanced PMR Recipe'!L6),
if(and(I5="Gestation &amp; Lactation",I4="Canine"),sum((3.1/1000)*'Unbalanced PMR Recipe'!L6),
if(and(I5="Gestation &amp; Lactation",I4="Feline"),sum(( 1.2/1000)*'Unbalanced PMR Recipe'!L6),""))))))</f>
        <v>2.7</v>
      </c>
      <c r="H52" s="343" t="str">
        <f t="shared" si="9"/>
        <v>mg</v>
      </c>
      <c r="I52" s="343">
        <f>if(and(I5="Adult Maintenance",I4="Canine"),sum((1.5/1000)*'Unbalanced PMR Recipe'!L6),if(and(I5="Growth &amp; Development",I4="Canine"),sum((2.7/1000)*'Unbalanced PMR Recipe'!L6),if(and(I5="Adult Maintenance",I4="Feline"),sum((1.2/1000)*'Unbalanced PMR Recipe'!L6),if(and(I5="Growth &amp; Development",I4="Feline"),sum((2.1/1000)*'Unbalanced PMR Recipe'!L6),
if(and(I5="Gestation &amp; Lactation",I4="Canine"),sum((3.1/1000)*'Unbalanced PMR Recipe'!L6),
if(and(I5="Gestation &amp; Lactation",I4="Feline"),sum(( 1.2/1000)*'Unbalanced PMR Recipe'!L6),""))))))</f>
        <v>2.7</v>
      </c>
      <c r="J52" s="343" t="str">
        <f t="shared" si="10"/>
        <v>mg</v>
      </c>
    </row>
    <row r="53">
      <c r="A53" s="357" t="s">
        <v>193</v>
      </c>
      <c r="B53" s="358"/>
      <c r="C53" s="359">
        <f>sum('Unbalanced PMR Recipe Data'!U86)/('Unbalanced PMR Recipe Data'!F21/'Unbalanced PMR Recipe'!L6)</f>
        <v>18.769181</v>
      </c>
      <c r="D53" s="333" t="s">
        <v>26</v>
      </c>
      <c r="E53" s="360"/>
      <c r="F53" s="360"/>
      <c r="G53" s="336">
        <f>if(and(I5="Adult Maintenance",I4="Canine"),sum((15/1000)*'Unbalanced PMR Recipe'!L6),if(and(I5="Growth &amp; Development",I4="Canine"),sum((10/1000)*'Unbalanced PMR Recipe'!L6),if(and(I5="Adult Maintenance",I4="Feline"),sum((18.5/1000)*'Unbalanced PMR Recipe'!L6),if(and(I5="Growth &amp; Development",I4="Feline"),sum((12.5/1000)*'Unbalanced PMR Recipe'!L6),
if(and(I5="Gestation &amp; Lactation",I4="Canine"),sum((24/1000)*'Unbalanced PMR Recipe'!L6),
if(and(I5="Gestation &amp; Lactation",I4="Feline"),sum(( 18.5/1000)*'Unbalanced PMR Recipe'!L6),""))))))</f>
        <v>10</v>
      </c>
      <c r="H53" s="336" t="str">
        <f t="shared" si="9"/>
        <v>mg</v>
      </c>
      <c r="I53" s="336">
        <f>if(and(I5="Adult Maintenance",I4="Canine"),sum((15/1000)*'Unbalanced PMR Recipe'!L6),if(and(I5="Growth &amp; Development",I4="Canine"),sum((25/1000)*'Unbalanced PMR Recipe'!L6),if(and(I5="Adult Maintenance",I4="Feline"),sum((18.5/1000)*'Unbalanced PMR Recipe'!L6),if(and(I5="Growth &amp; Development",I4="Feline"),sum((18.5/1000)*'Unbalanced PMR Recipe'!L6),
if(and(I5="Gestation &amp; Lactation",I4="Canine"),sum((24/1000)*'Unbalanced PMR Recipe'!L6),
if(and(I5="Gestation &amp; Lactation",I4="Feline"),sum(( 18.5/1000)*'Unbalanced PMR Recipe'!L6),""))))))</f>
        <v>25</v>
      </c>
      <c r="J53" s="336" t="str">
        <f t="shared" si="10"/>
        <v>mg</v>
      </c>
    </row>
    <row r="54">
      <c r="A54" s="361" t="s">
        <v>194</v>
      </c>
      <c r="B54" s="362"/>
      <c r="C54" s="363">
        <f>sum('Unbalanced PMR Recipe Data'!U88)/('Unbalanced PMR Recipe Data'!F21/'Unbalanced PMR Recipe'!L6)</f>
        <v>0.9783934779</v>
      </c>
      <c r="D54" s="340" t="s">
        <v>26</v>
      </c>
      <c r="E54" s="364"/>
      <c r="F54" s="364"/>
      <c r="G54" s="343">
        <f>if(and(I5="Adult Maintenance",I4="Canine"),sum((1.2/1000)*'Unbalanced PMR Recipe'!L6),if(and(I5="Growth &amp; Development",I4="Canine"),sum((1.4/1000)*'Unbalanced PMR Recipe'!L6),if(and(I5="Adult Maintenance",I4="Feline"),sum((1.2/1000)*'Unbalanced PMR Recipe'!L6),if(and(I5="Growth &amp; Development",I4="Feline"),sum((1.2/1000)*'Unbalanced PMR Recipe'!L6),
if(and(I5="Gestation &amp; Lactation",I4="Canine"),sum(( 1.8/1000)*'Unbalanced PMR Recipe'!L6),
if(and(I5="Gestation &amp; Lactation",I4="Feline"),sum(( 1.2/1000)*'Unbalanced PMR Recipe'!L6),""))))))</f>
        <v>1.4</v>
      </c>
      <c r="H54" s="343" t="str">
        <f t="shared" si="9"/>
        <v>mg</v>
      </c>
      <c r="I54" s="343">
        <f>if(and(I5="Adult Maintenance",I4="Canine"),sum((1.2/1000)*'Unbalanced PMR Recipe'!L6),if(and(I5="Growth &amp; Development",I4="Canine"),sum((1.4/1000)*'Unbalanced PMR Recipe'!L6),if(and(I5="Adult Maintenance",I4="Feline"),sum((1.2/1000)*'Unbalanced PMR Recipe'!L6),if(and(I5="Growth &amp; Development",I4="Feline"),sum((1.2/1000)*'Unbalanced PMR Recipe'!L6),
if(and(I5="Gestation &amp; Lactation",I4="Canine"),sum(( 1.8/1000)*'Unbalanced PMR Recipe'!L6),
if(and(I5="Gestation &amp; Lactation",I4="Feline"),sum(( 1.2/1000)*'Unbalanced PMR Recipe'!L6),""))))))</f>
        <v>1.4</v>
      </c>
      <c r="J54" s="343" t="str">
        <f t="shared" si="10"/>
        <v>mg</v>
      </c>
    </row>
    <row r="55">
      <c r="A55" s="357" t="s">
        <v>195</v>
      </c>
      <c r="B55" s="358"/>
      <c r="C55" s="359">
        <f>sum('Unbalanced PMR Recipe Data'!U90)/('Unbalanced PMR Recipe Data'!F21/'Unbalanced PMR Recipe'!L6)</f>
        <v>265.9632883</v>
      </c>
      <c r="D55" s="333" t="s">
        <v>11</v>
      </c>
      <c r="E55" s="360"/>
      <c r="F55" s="360"/>
      <c r="G55" s="336">
        <f>if(and(I5="Adult Maintenance",I4="Canine"),sum((87.5/1000)*'Unbalanced PMR Recipe'!L6),if(and(I5="Growth &amp; Development",I4="Canine"),sum((52.5/1000)*'Unbalanced PMR Recipe'!L6),if(and(I5="Adult Maintenance",I4="Feline"),sum((75/1000)*'Unbalanced PMR Recipe'!L6),if(and(I5="Growth &amp; Development",I4="Feline"),sum((30/1000)*'Unbalanced PMR Recipe'!L6),
if(and(I5="Gestation &amp; Lactation",I4="Canine"),sum((87.5/1000)*'Unbalanced PMR Recipe'!L6),
if(and(I5="Gestation &amp; Lactation",I4="Feline"),sum(( 75/1000)*'Unbalanced PMR Recipe'!L6),""))))))</f>
        <v>52.5</v>
      </c>
      <c r="H55" s="336" t="str">
        <f t="shared" si="9"/>
        <v>mcg</v>
      </c>
      <c r="I55" s="336">
        <f>if(and(I5="Adult Maintenance",I4="Canine"),sum((87.5/1000)*'Unbalanced PMR Recipe'!L6),if(and(I5="Growth &amp; Development",I4="Canine"),sum((87.5/1000)*'Unbalanced PMR Recipe'!L6),if(and(I5="Adult Maintenance",I4="Feline"),sum((75/1000)*'Unbalanced PMR Recipe'!L6),if(and(I5="Growth &amp; Development",I4="Feline"),sum((75/1000)*'Unbalanced PMR Recipe'!L6),
if(and(I5="Gestation &amp; Lactation",I4="Canine"),sum((87.5/1000)*'Unbalanced PMR Recipe'!L6),
if(and(I5="Gestation &amp; Lactation",I4="Feline"),sum(( 75/1000)*'Unbalanced PMR Recipe'!L6),""))))))</f>
        <v>87.5</v>
      </c>
      <c r="J55" s="336" t="str">
        <f t="shared" si="10"/>
        <v>mcg</v>
      </c>
    </row>
    <row r="56">
      <c r="A56" s="361" t="s">
        <v>196</v>
      </c>
      <c r="B56" s="362"/>
      <c r="C56" s="384">
        <v>0.0</v>
      </c>
      <c r="D56" s="340" t="s">
        <v>11</v>
      </c>
      <c r="E56" s="364"/>
      <c r="F56" s="364"/>
      <c r="G56" s="343">
        <f>if(and(I5="Adult Maintenance",I4="Canine"),sum((175/1000)*'Unbalanced PMR Recipe'!L6),if(and(I5="Growth &amp; Development",I4="Canine"),sum((220/1000)*'Unbalanced PMR Recipe'!L6),if(and(I5="Adult Maintenance",I4="Feline"),sum((220/1000)*'Unbalanced PMR Recipe'!L6),if(and(I5="Growth &amp; Development",I4="Feline"),sum((220/1000)*'Unbalanced PMR Recipe'!L6),
if(and(I5="Gestation &amp; Lactation",I4="Canine"),sum(( 220/1000)*'Unbalanced PMR Recipe'!L6),
if(and(I5="Gestation &amp; Lactation",I4="Feline"),sum(( 220/1000)*'Unbalanced PMR Recipe'!L6),""))))))</f>
        <v>220</v>
      </c>
      <c r="H56" s="343" t="str">
        <f t="shared" si="9"/>
        <v>mcg</v>
      </c>
      <c r="I56" s="343">
        <f>if(and(I5="Adult Maintenance",I4="Canine"),sum((220/1000)*'Unbalanced PMR Recipe'!L6),if(and(I5="Growth &amp; Development",I4="Canine"),sum((220/1000)*'Unbalanced PMR Recipe'!L6),if(and(I5="Adult Maintenance",I4="Feline"),sum((220/1000)*'Unbalanced PMR Recipe'!L6),if(and(I5="Growth &amp; Development",I4="Feline"),sum((220/1000)*'Unbalanced PMR Recipe'!L6),
if(and(I5="Gestation &amp; Lactation",I4="Canine"),sum(( 220/1000)*'Unbalanced PMR Recipe'!L6),
if(and(I5="Gestation &amp; Lactation",I4="Feline"),sum(( 350/1000)*'Unbalanced PMR Recipe'!L6),""))))))</f>
        <v>220</v>
      </c>
      <c r="J56" s="343" t="str">
        <f t="shared" si="10"/>
        <v>mcg</v>
      </c>
    </row>
    <row r="57" hidden="1">
      <c r="A57" s="385" t="s">
        <v>197</v>
      </c>
    </row>
    <row r="58">
      <c r="A58" s="386" t="s">
        <v>198</v>
      </c>
      <c r="B58" s="387"/>
      <c r="C58" s="318"/>
      <c r="D58" s="381"/>
      <c r="E58" s="381"/>
      <c r="F58" s="381"/>
      <c r="G58" s="381"/>
      <c r="H58" s="381"/>
      <c r="I58" s="381"/>
      <c r="J58" s="388"/>
    </row>
    <row r="59">
      <c r="A59" s="355" t="s">
        <v>199</v>
      </c>
      <c r="B59" s="356"/>
      <c r="C59" s="389" t="str">
        <f>'Unbalanced PMR Recipe Data'!H94</f>
        <v>1.02 : 1</v>
      </c>
      <c r="D59" s="239"/>
      <c r="E59" s="356"/>
      <c r="F59" s="356"/>
      <c r="G59" s="356"/>
      <c r="H59" s="356"/>
      <c r="I59" s="355"/>
      <c r="J59" s="356"/>
    </row>
    <row r="60">
      <c r="A60" s="357" t="s">
        <v>200</v>
      </c>
      <c r="B60" s="358"/>
      <c r="C60" s="390" t="str">
        <f>'Unbalanced PMR Recipe Data'!S94</f>
        <v>34.49 : 1</v>
      </c>
      <c r="D60" s="248"/>
      <c r="E60" s="358"/>
      <c r="F60" s="358"/>
      <c r="G60" s="358"/>
      <c r="H60" s="358"/>
      <c r="I60" s="358"/>
      <c r="J60" s="358"/>
    </row>
  </sheetData>
  <mergeCells count="21">
    <mergeCell ref="C43:D43"/>
    <mergeCell ref="G43:H43"/>
    <mergeCell ref="I43:J43"/>
    <mergeCell ref="A46:J46"/>
    <mergeCell ref="A57:J57"/>
    <mergeCell ref="C59:D59"/>
    <mergeCell ref="C60:D60"/>
    <mergeCell ref="A42:J42"/>
    <mergeCell ref="C23:D23"/>
    <mergeCell ref="G23:H23"/>
    <mergeCell ref="I23:J23"/>
    <mergeCell ref="C29:D29"/>
    <mergeCell ref="G29:H29"/>
    <mergeCell ref="I29:J29"/>
    <mergeCell ref="A1:J1"/>
    <mergeCell ref="I3:J3"/>
    <mergeCell ref="I4:J4"/>
    <mergeCell ref="I5:J5"/>
    <mergeCell ref="C8:D8"/>
    <mergeCell ref="G8:H8"/>
    <mergeCell ref="I8:J8"/>
  </mergeCells>
  <conditionalFormatting sqref="A9:J9">
    <cfRule type="expression" dxfId="3" priority="1">
      <formula>$C$9&lt;$I$9</formula>
    </cfRule>
  </conditionalFormatting>
  <conditionalFormatting sqref="A19:J19">
    <cfRule type="expression" dxfId="3" priority="2">
      <formula>$C$19&lt;$I$19</formula>
    </cfRule>
  </conditionalFormatting>
  <conditionalFormatting sqref="A11:J11">
    <cfRule type="expression" dxfId="3" priority="3">
      <formula>$C$11&lt;$I$11</formula>
    </cfRule>
  </conditionalFormatting>
  <conditionalFormatting sqref="A12:J12">
    <cfRule type="expression" dxfId="3" priority="4">
      <formula>$C$12&lt;$I$12</formula>
    </cfRule>
  </conditionalFormatting>
  <conditionalFormatting sqref="A13:J13">
    <cfRule type="expression" dxfId="3" priority="5">
      <formula>$C$13&lt;$I$13</formula>
    </cfRule>
  </conditionalFormatting>
  <conditionalFormatting sqref="A14:J14">
    <cfRule type="expression" dxfId="3" priority="6">
      <formula>$C$14&lt;$I$14</formula>
    </cfRule>
  </conditionalFormatting>
  <conditionalFormatting sqref="A15:J15">
    <cfRule type="expression" dxfId="3" priority="7">
      <formula>$C$15&lt;$I$15</formula>
    </cfRule>
  </conditionalFormatting>
  <conditionalFormatting sqref="A16:J16">
    <cfRule type="expression" dxfId="3" priority="8">
      <formula>$C$16&lt;$I$16</formula>
    </cfRule>
  </conditionalFormatting>
  <conditionalFormatting sqref="A17:J17">
    <cfRule type="expression" dxfId="3" priority="9">
      <formula>$C$17&lt;$I$17</formula>
    </cfRule>
  </conditionalFormatting>
  <conditionalFormatting sqref="A18:J18">
    <cfRule type="expression" dxfId="3" priority="10">
      <formula>$C$18&lt;$I$18</formula>
    </cfRule>
  </conditionalFormatting>
  <conditionalFormatting sqref="A10:J10">
    <cfRule type="expression" dxfId="3" priority="11">
      <formula>$C$10&lt;$I$10</formula>
    </cfRule>
  </conditionalFormatting>
  <conditionalFormatting sqref="A20:J20">
    <cfRule type="expression" dxfId="3" priority="12">
      <formula>$C$20&lt;$I$20</formula>
    </cfRule>
  </conditionalFormatting>
  <conditionalFormatting sqref="A21:J21">
    <cfRule type="expression" dxfId="3" priority="13">
      <formula>$C$21&lt;$I$21</formula>
    </cfRule>
  </conditionalFormatting>
  <conditionalFormatting sqref="A22:J22">
    <cfRule type="expression" dxfId="3" priority="14">
      <formula>$C$22&lt;$I$22</formula>
    </cfRule>
  </conditionalFormatting>
  <conditionalFormatting sqref="A28:J28">
    <cfRule type="expression" dxfId="3" priority="15">
      <formula>$C$28&lt;$I$28</formula>
    </cfRule>
  </conditionalFormatting>
  <conditionalFormatting sqref="A25:J25">
    <cfRule type="expression" dxfId="3" priority="16">
      <formula>$C$25&lt;$I$25</formula>
    </cfRule>
  </conditionalFormatting>
  <conditionalFormatting sqref="A24:J24">
    <cfRule type="expression" dxfId="3" priority="17">
      <formula>$C$24&lt;$I$24</formula>
    </cfRule>
  </conditionalFormatting>
  <conditionalFormatting sqref="A27:J27">
    <cfRule type="expression" dxfId="3" priority="18">
      <formula>$C$27&lt;$I$27</formula>
    </cfRule>
  </conditionalFormatting>
  <conditionalFormatting sqref="A30:J30">
    <cfRule type="expression" dxfId="3" priority="19">
      <formula>$C$30&lt;$I$30</formula>
    </cfRule>
  </conditionalFormatting>
  <conditionalFormatting sqref="A31:J31">
    <cfRule type="expression" dxfId="3" priority="20">
      <formula>$C$31&lt;$I$31</formula>
    </cfRule>
  </conditionalFormatting>
  <conditionalFormatting sqref="A32:J32">
    <cfRule type="expression" dxfId="3" priority="21">
      <formula>$C$32&lt;$I$32</formula>
    </cfRule>
  </conditionalFormatting>
  <conditionalFormatting sqref="A33:J33">
    <cfRule type="expression" dxfId="3" priority="22">
      <formula>$C$33&lt;$I$33</formula>
    </cfRule>
  </conditionalFormatting>
  <conditionalFormatting sqref="A34:J34">
    <cfRule type="expression" dxfId="3" priority="23">
      <formula>$C$34&lt;$I$34</formula>
    </cfRule>
  </conditionalFormatting>
  <conditionalFormatting sqref="A35:J35">
    <cfRule type="expression" dxfId="3" priority="24">
      <formula>$C$35&lt;$I$35</formula>
    </cfRule>
  </conditionalFormatting>
  <conditionalFormatting sqref="A36:J36">
    <cfRule type="expression" dxfId="3" priority="25">
      <formula>$C$36&lt;$I$36</formula>
    </cfRule>
  </conditionalFormatting>
  <conditionalFormatting sqref="A37:J37">
    <cfRule type="expression" dxfId="3" priority="26">
      <formula>$C$37&lt;$I$37</formula>
    </cfRule>
  </conditionalFormatting>
  <conditionalFormatting sqref="A38:J38">
    <cfRule type="expression" dxfId="3" priority="27">
      <formula>$C$38&lt;$I$38</formula>
    </cfRule>
  </conditionalFormatting>
  <conditionalFormatting sqref="A39:J39">
    <cfRule type="expression" dxfId="3" priority="28">
      <formula>$C$39&lt;$I$39</formula>
    </cfRule>
  </conditionalFormatting>
  <conditionalFormatting sqref="A40:J40">
    <cfRule type="expression" dxfId="3" priority="29">
      <formula>$C$40&lt;$I$40</formula>
    </cfRule>
  </conditionalFormatting>
  <conditionalFormatting sqref="A41:J41">
    <cfRule type="expression" dxfId="4" priority="30">
      <formula>$C$41&lt;$I$41</formula>
    </cfRule>
  </conditionalFormatting>
  <conditionalFormatting sqref="A44:J44">
    <cfRule type="expression" dxfId="5" priority="31">
      <formula>$C$44&lt;$I$44</formula>
    </cfRule>
  </conditionalFormatting>
  <conditionalFormatting sqref="A45:J45">
    <cfRule type="expression" dxfId="4" priority="32">
      <formula>$C$45&lt;$I$45</formula>
    </cfRule>
  </conditionalFormatting>
  <conditionalFormatting sqref="A50:J50">
    <cfRule type="expression" dxfId="3" priority="33">
      <formula>$C$50&lt;$I$50</formula>
    </cfRule>
  </conditionalFormatting>
  <conditionalFormatting sqref="A48:J48">
    <cfRule type="expression" dxfId="3" priority="34">
      <formula>$C$48&lt;$I$48</formula>
    </cfRule>
  </conditionalFormatting>
  <conditionalFormatting sqref="A49:J49">
    <cfRule type="expression" dxfId="3" priority="35">
      <formula>$C$49&lt;$I$49</formula>
    </cfRule>
  </conditionalFormatting>
  <conditionalFormatting sqref="A47:J47">
    <cfRule type="expression" dxfId="3" priority="36">
      <formula>$C$47&lt;$I$47</formula>
    </cfRule>
  </conditionalFormatting>
  <conditionalFormatting sqref="A51:J51">
    <cfRule type="expression" dxfId="3" priority="37">
      <formula>$C$51&lt;$I$51</formula>
    </cfRule>
  </conditionalFormatting>
  <conditionalFormatting sqref="A52:J52">
    <cfRule type="expression" dxfId="3" priority="38">
      <formula>$C$52&lt;$I$52</formula>
    </cfRule>
  </conditionalFormatting>
  <conditionalFormatting sqref="A53:J53">
    <cfRule type="expression" dxfId="3" priority="39">
      <formula>$C$53&lt;$I$53</formula>
    </cfRule>
  </conditionalFormatting>
  <conditionalFormatting sqref="A54:J54">
    <cfRule type="expression" dxfId="3" priority="40">
      <formula>$C$54&lt;$I$54</formula>
    </cfRule>
  </conditionalFormatting>
  <conditionalFormatting sqref="A55:J55">
    <cfRule type="expression" dxfId="3" priority="41">
      <formula>$C$55&lt;$I$55</formula>
    </cfRule>
  </conditionalFormatting>
  <conditionalFormatting sqref="A56:J56">
    <cfRule type="expression" dxfId="3" priority="42">
      <formula>$C$56&lt;$I$56</formula>
    </cfRule>
  </conditionalFormatting>
  <dataValidations>
    <dataValidation type="list" allowBlank="1" sqref="I5">
      <formula1>"ADULT MAINTENANCE,GROWTH &amp; DEVELOPMENT,GESTATION &amp; LACTATION"</formula1>
    </dataValidation>
  </dataValidations>
  <printOptions gridLines="1" horizontalCentered="1"/>
  <pageMargins bottom="0.75" footer="0.0" header="0.0" left="0.7" right="0.7" top="0.75"/>
  <pageSetup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7.63"/>
    <col customWidth="1" min="2" max="2" width="24.63"/>
    <col customWidth="1" min="3" max="3" width="8.25"/>
    <col customWidth="1" min="4" max="4" width="1.88"/>
    <col customWidth="1" min="5" max="6" width="8.25"/>
    <col customWidth="1" min="7" max="7" width="1.88"/>
    <col customWidth="1" min="8" max="8" width="8.25"/>
    <col customWidth="1" min="9" max="11" width="9.0"/>
  </cols>
  <sheetData>
    <row r="1">
      <c r="A1" s="391" t="str">
        <f>CONCATENATE('Unbalanced PMR Recipe'!A1," SHOPPING LIST")</f>
        <v>UNBALANCED PMR RECIPE SHOPPING LIST</v>
      </c>
    </row>
    <row r="2" ht="15.75" customHeight="1">
      <c r="A2" s="392"/>
      <c r="B2" s="392"/>
      <c r="C2" s="392"/>
      <c r="D2" s="392"/>
      <c r="F2" s="393"/>
      <c r="G2" s="393"/>
      <c r="H2" s="393"/>
      <c r="I2" s="392"/>
      <c r="J2" s="392"/>
      <c r="K2" s="392"/>
    </row>
    <row r="3" ht="15.75" customHeight="1">
      <c r="A3" s="394" t="s">
        <v>118</v>
      </c>
      <c r="B3" s="395"/>
      <c r="C3" s="395"/>
      <c r="D3" s="395"/>
      <c r="E3" s="177"/>
      <c r="F3" s="396"/>
      <c r="G3" s="396"/>
      <c r="H3" s="177"/>
      <c r="I3" s="395"/>
      <c r="J3" s="395"/>
      <c r="K3" s="396" t="str">
        <f>'Unbalanced PMR Recipe'!L3</f>
        <v>PET NAME</v>
      </c>
    </row>
    <row r="4" ht="15.75" customHeight="1">
      <c r="A4" s="394" t="s">
        <v>122</v>
      </c>
      <c r="B4" s="395"/>
      <c r="C4" s="395"/>
      <c r="D4" s="395"/>
      <c r="E4" s="177"/>
      <c r="F4" s="396"/>
      <c r="G4" s="397"/>
      <c r="H4" s="179"/>
      <c r="I4" s="396" t="str">
        <f>'Unbalanced PMR Recipe'!K5</f>
        <v>ALL LIFE STAGE</v>
      </c>
      <c r="J4" s="177"/>
      <c r="K4" s="177"/>
    </row>
    <row r="5" ht="15.75" customHeight="1">
      <c r="A5" s="394" t="s">
        <v>202</v>
      </c>
      <c r="B5" s="394"/>
      <c r="C5" s="394"/>
      <c r="D5" s="394"/>
      <c r="E5" s="177"/>
      <c r="F5" s="398"/>
      <c r="G5" s="399"/>
      <c r="H5" s="179"/>
      <c r="I5" s="394"/>
    </row>
    <row r="6" ht="15.75" customHeight="1">
      <c r="A6" s="394" t="str">
        <f>concatenate('Balanced Recipe Shopping List'!J5," Day Total Weight in ",'Unbalanced PMR Recipe'!$M$4)</f>
        <v>30 Day Total Weight in LB</v>
      </c>
      <c r="B6" s="394"/>
      <c r="C6" s="394"/>
      <c r="D6" s="394"/>
      <c r="E6" s="177"/>
      <c r="F6" s="398"/>
      <c r="G6" s="399"/>
      <c r="H6" s="179"/>
      <c r="I6" s="400"/>
      <c r="J6" s="394"/>
      <c r="K6" s="398">
        <f>sum(I18)</f>
        <v>50.45947359</v>
      </c>
    </row>
    <row r="7" ht="15.75" customHeight="1">
      <c r="A7" s="395" t="str">
        <f>concatenate("Average Price Per ",'Unbalanced PMR Recipe'!M4)</f>
        <v>Average Price Per LB</v>
      </c>
      <c r="B7" s="395"/>
      <c r="C7" s="395"/>
      <c r="D7" s="395"/>
      <c r="E7" s="179"/>
      <c r="F7" s="396"/>
      <c r="G7" s="397"/>
      <c r="H7" s="179"/>
      <c r="I7" s="401"/>
      <c r="J7" s="395"/>
      <c r="K7" s="396" t="str">
        <f>sum(K10/K6)</f>
        <v>#REF!</v>
      </c>
    </row>
    <row r="8" ht="15.75" hidden="1" customHeight="1">
      <c r="A8" s="401" t="s">
        <v>203</v>
      </c>
      <c r="B8" s="401"/>
      <c r="C8" s="401"/>
      <c r="D8" s="401"/>
      <c r="E8" s="179"/>
      <c r="F8" s="214"/>
      <c r="G8" s="214"/>
      <c r="H8" s="179"/>
      <c r="I8" s="401"/>
      <c r="J8" s="401"/>
      <c r="K8" s="214">
        <v>1.0</v>
      </c>
    </row>
    <row r="9" ht="15.75" customHeight="1">
      <c r="A9" s="402" t="s">
        <v>204</v>
      </c>
      <c r="B9" s="402"/>
      <c r="C9" s="402"/>
      <c r="D9" s="402"/>
      <c r="E9" s="403"/>
      <c r="F9" s="404"/>
      <c r="G9" s="404"/>
      <c r="H9" s="405"/>
      <c r="I9" s="402"/>
      <c r="J9" s="402"/>
      <c r="K9" s="404" t="str">
        <f>K10/'Balanced Recipe Shopping List'!J5</f>
        <v>#REF!</v>
      </c>
    </row>
    <row r="10" ht="15.75" customHeight="1">
      <c r="A10" s="406" t="str">
        <f>CONCATENATE("Estimated ",'Balanced Recipe Shopping List'!J5," Day Budget")</f>
        <v>Estimated 30 Day Budget</v>
      </c>
      <c r="B10" s="406"/>
      <c r="C10" s="406"/>
      <c r="D10" s="406"/>
      <c r="E10" s="407"/>
      <c r="F10" s="408"/>
      <c r="G10" s="408"/>
      <c r="H10" s="409"/>
      <c r="I10" s="406"/>
      <c r="J10" s="406"/>
      <c r="K10" s="408" t="str">
        <f>sum(#REF!+K18+#REF!)</f>
        <v>#REF!</v>
      </c>
    </row>
    <row r="11" ht="15.75" hidden="1" customHeight="1">
      <c r="A11" s="203"/>
      <c r="B11" s="410"/>
      <c r="C11" s="410"/>
      <c r="D11" s="203"/>
      <c r="E11" s="203"/>
      <c r="F11" s="203"/>
      <c r="G11" s="203"/>
      <c r="H11" s="203"/>
      <c r="I11" s="411"/>
      <c r="J11" s="411"/>
      <c r="K11" s="411"/>
    </row>
    <row r="12" ht="15.75" customHeight="1">
      <c r="A12" s="203"/>
      <c r="B12" s="410"/>
      <c r="C12" s="410"/>
      <c r="D12" s="203"/>
      <c r="E12" s="203"/>
      <c r="F12" s="203"/>
      <c r="G12" s="203"/>
      <c r="H12" s="203"/>
      <c r="I12" s="411"/>
      <c r="J12" s="411"/>
      <c r="K12" s="411"/>
    </row>
    <row r="13">
      <c r="A13" s="203"/>
      <c r="B13" s="410"/>
      <c r="C13" s="410"/>
      <c r="D13" s="203"/>
      <c r="E13" s="203"/>
      <c r="F13" s="203"/>
      <c r="G13" s="203"/>
      <c r="H13" s="203"/>
      <c r="I13" s="412" t="s">
        <v>205</v>
      </c>
      <c r="J13" s="413"/>
      <c r="K13" s="414"/>
    </row>
    <row r="14">
      <c r="A14" s="415" t="s">
        <v>206</v>
      </c>
      <c r="B14" s="232"/>
      <c r="C14" s="232"/>
      <c r="D14" s="232"/>
      <c r="E14" s="232"/>
      <c r="F14" s="416" t="s">
        <v>207</v>
      </c>
      <c r="G14" s="230" t="s">
        <v>208</v>
      </c>
      <c r="H14" s="417" t="str">
        <f>'Unbalanced PMR Recipe'!M4</f>
        <v>LB</v>
      </c>
      <c r="I14" s="418" t="str">
        <f>concatenate("Amount needed for ", sum('Balanced Recipe Shopping List'!J5/K8), " days")</f>
        <v>Amount needed for 30 days</v>
      </c>
      <c r="J14" s="232"/>
      <c r="K14" s="234"/>
    </row>
    <row r="15">
      <c r="A15" s="419" t="s">
        <v>209</v>
      </c>
      <c r="B15" s="239"/>
      <c r="C15" s="239"/>
      <c r="D15" s="239"/>
      <c r="E15" s="239"/>
      <c r="F15" s="420">
        <f>if('Unbalanced PMR Recipe'!$M$4="LB",2.5,if('Unbalanced PMR Recipe'!$M$4="KG",sum(2.5*2.20462),""))</f>
        <v>2.5</v>
      </c>
      <c r="G15" s="421" t="s">
        <v>208</v>
      </c>
      <c r="H15" s="422" t="str">
        <f t="shared" ref="H15:H17" si="1">$H$14</f>
        <v>LB</v>
      </c>
      <c r="I15" s="423">
        <f>if( $H$14="LB",sum(( 'Unbalanced PMR Recipe'!H11)*('Balanced Recipe Shopping List'!$J$5/$K$8))/16,sum(( 'Unbalanced PMR Recipe'!J11)*('Balanced Recipe Shopping List'!$J$5/$K$8))/1000)</f>
        <v>26.74180424</v>
      </c>
      <c r="J15" s="424" t="str">
        <f t="shared" ref="J15:J17" si="2">H15</f>
        <v>LB</v>
      </c>
      <c r="K15" s="425">
        <f t="shared" ref="K15:K17" si="3">sum(I15*F15)</f>
        <v>66.85451061</v>
      </c>
    </row>
    <row r="16">
      <c r="A16" s="426" t="s">
        <v>210</v>
      </c>
      <c r="B16" s="427"/>
      <c r="C16" s="427"/>
      <c r="D16" s="427"/>
      <c r="E16" s="427"/>
      <c r="F16" s="428">
        <f>if('Unbalanced PMR Recipe'!$M$4="LB",2.5,if('Unbalanced PMR Recipe'!$M$4="KG",sum(2.5*2.20462),""))</f>
        <v>2.5</v>
      </c>
      <c r="G16" s="429" t="s">
        <v>208</v>
      </c>
      <c r="H16" s="430" t="str">
        <f t="shared" si="1"/>
        <v>LB</v>
      </c>
      <c r="I16" s="431">
        <f>if( $H$14="LB",sum(( 'Unbalanced PMR Recipe'!H12)*('Balanced Recipe Shopping List'!$J$5/$K$8))/16,sum(( 'Unbalanced PMR Recipe'!J12)*('Balanced Recipe Shopping List'!$J$5/$K$8))/1000)</f>
        <v>15.14048324</v>
      </c>
      <c r="J16" s="432" t="str">
        <f t="shared" si="2"/>
        <v>LB</v>
      </c>
      <c r="K16" s="433">
        <f t="shared" si="3"/>
        <v>37.8512081</v>
      </c>
    </row>
    <row r="17">
      <c r="A17" s="419" t="s">
        <v>211</v>
      </c>
      <c r="B17" s="239"/>
      <c r="C17" s="239"/>
      <c r="D17" s="239"/>
      <c r="E17" s="239"/>
      <c r="F17" s="420">
        <f>if('Unbalanced PMR Recipe'!$M$4="LB",2.5,if('Unbalanced PMR Recipe'!$M$4="KG",sum(2.5*2.20462),""))</f>
        <v>2.5</v>
      </c>
      <c r="G17" s="421" t="s">
        <v>208</v>
      </c>
      <c r="H17" s="422" t="str">
        <f t="shared" si="1"/>
        <v>LB</v>
      </c>
      <c r="I17" s="423">
        <f>if( $H$14="LB",sum(( 'Unbalanced PMR Recipe'!H13)*('Balanced Recipe Shopping List'!$J$5/$K$8))/16,sum(( 'Unbalanced PMR Recipe'!J13)*('Balanced Recipe Shopping List'!$J$5/$K$8))/1000)</f>
        <v>8.577186102</v>
      </c>
      <c r="J17" s="424" t="str">
        <f t="shared" si="2"/>
        <v>LB</v>
      </c>
      <c r="K17" s="425">
        <f t="shared" si="3"/>
        <v>21.44296525</v>
      </c>
    </row>
    <row r="18">
      <c r="A18" s="434"/>
      <c r="B18" s="435"/>
      <c r="C18" s="435"/>
      <c r="D18" s="436"/>
      <c r="E18" s="437"/>
      <c r="F18" s="438"/>
      <c r="G18" s="438"/>
      <c r="H18" s="438"/>
      <c r="I18" s="439">
        <f>sum( I15:I17)</f>
        <v>50.45947359</v>
      </c>
      <c r="J18" s="440" t="str">
        <f>H14</f>
        <v>LB</v>
      </c>
      <c r="K18" s="441">
        <f>sum(K15:K17)</f>
        <v>126.148684</v>
      </c>
    </row>
  </sheetData>
  <mergeCells count="8">
    <mergeCell ref="A1:K1"/>
    <mergeCell ref="I4:K4"/>
    <mergeCell ref="I13:K13"/>
    <mergeCell ref="A14:E14"/>
    <mergeCell ref="I14:K14"/>
    <mergeCell ref="A15:E15"/>
    <mergeCell ref="A16:E16"/>
    <mergeCell ref="A17:E17"/>
  </mergeCells>
  <dataValidations>
    <dataValidation type="list" allowBlank="1" sqref="A15:A17">
      <formula1>'Unbalanced PMR Recipe Data'!$G$98:$Q$111</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showGridLines="0" workbookViewId="0"/>
  </sheetViews>
  <sheetFormatPr customHeight="1" defaultColWidth="12.63" defaultRowHeight="15.75"/>
  <cols>
    <col customWidth="1" min="1" max="22" width="6.38"/>
  </cols>
  <sheetData>
    <row r="1">
      <c r="A1" s="442" t="s">
        <v>212</v>
      </c>
      <c r="B1" s="177"/>
      <c r="C1" s="177"/>
      <c r="D1" s="443" t="s">
        <v>213</v>
      </c>
      <c r="E1" s="177"/>
      <c r="F1" s="177"/>
      <c r="G1" s="177"/>
      <c r="H1" s="177"/>
      <c r="I1" s="177"/>
      <c r="J1" s="177"/>
      <c r="K1" s="177"/>
      <c r="L1" s="177"/>
      <c r="M1" s="177"/>
      <c r="N1" s="177"/>
      <c r="O1" s="177"/>
      <c r="P1" s="177"/>
      <c r="Q1" s="177"/>
      <c r="R1" s="177"/>
      <c r="S1" s="177"/>
      <c r="T1" s="177"/>
      <c r="U1" s="177"/>
      <c r="V1" s="177"/>
    </row>
    <row r="2">
      <c r="A2" s="444" t="s">
        <v>214</v>
      </c>
      <c r="B2" s="444"/>
      <c r="C2" s="444"/>
      <c r="D2" s="445" t="s">
        <v>215</v>
      </c>
      <c r="E2" s="179"/>
      <c r="F2" s="179"/>
      <c r="G2" s="179"/>
      <c r="H2" s="179"/>
      <c r="I2" s="179"/>
      <c r="J2" s="179"/>
      <c r="K2" s="179"/>
      <c r="L2" s="179"/>
      <c r="M2" s="179"/>
      <c r="N2" s="179"/>
      <c r="O2" s="179"/>
      <c r="P2" s="179"/>
      <c r="Q2" s="179"/>
      <c r="R2" s="179"/>
      <c r="S2" s="179"/>
      <c r="T2" s="179"/>
      <c r="U2" s="179"/>
      <c r="V2" s="179"/>
    </row>
    <row r="3">
      <c r="A3" s="444" t="s">
        <v>216</v>
      </c>
      <c r="B3" s="444"/>
      <c r="C3" s="444"/>
      <c r="D3" s="445" t="s">
        <v>217</v>
      </c>
      <c r="E3" s="179"/>
      <c r="F3" s="179"/>
      <c r="G3" s="179"/>
      <c r="H3" s="179"/>
      <c r="I3" s="179"/>
      <c r="J3" s="179"/>
      <c r="K3" s="179"/>
      <c r="L3" s="179"/>
      <c r="M3" s="179"/>
      <c r="N3" s="179"/>
      <c r="O3" s="179"/>
      <c r="P3" s="179"/>
      <c r="Q3" s="179"/>
      <c r="R3" s="179"/>
      <c r="S3" s="179"/>
      <c r="T3" s="179"/>
      <c r="U3" s="179"/>
      <c r="V3" s="179"/>
    </row>
    <row r="4">
      <c r="A4" s="444" t="s">
        <v>218</v>
      </c>
      <c r="B4" s="444"/>
      <c r="C4" s="444"/>
      <c r="D4" s="446">
        <v>44.99</v>
      </c>
      <c r="E4" s="179"/>
      <c r="F4" s="179"/>
      <c r="G4" s="179"/>
      <c r="H4" s="179"/>
      <c r="I4" s="179"/>
      <c r="J4" s="179"/>
      <c r="K4" s="179"/>
      <c r="L4" s="179"/>
      <c r="M4" s="179"/>
      <c r="N4" s="179"/>
      <c r="O4" s="179"/>
      <c r="P4" s="179"/>
      <c r="Q4" s="179"/>
      <c r="R4" s="179"/>
      <c r="S4" s="179"/>
      <c r="T4" s="179"/>
      <c r="U4" s="179"/>
      <c r="V4" s="179"/>
    </row>
    <row r="5">
      <c r="A5" s="444" t="s">
        <v>219</v>
      </c>
      <c r="B5" s="179"/>
      <c r="C5" s="179"/>
      <c r="D5" s="447">
        <v>45444.0</v>
      </c>
      <c r="E5" s="179"/>
      <c r="F5" s="179"/>
      <c r="G5" s="179"/>
      <c r="H5" s="179"/>
      <c r="I5" s="179"/>
      <c r="J5" s="179"/>
      <c r="K5" s="179"/>
      <c r="L5" s="179"/>
      <c r="M5" s="179"/>
      <c r="N5" s="179"/>
      <c r="O5" s="179"/>
      <c r="P5" s="179"/>
      <c r="Q5" s="179"/>
      <c r="R5" s="179"/>
      <c r="S5" s="179"/>
      <c r="T5" s="179"/>
      <c r="U5" s="179"/>
      <c r="V5" s="179"/>
    </row>
    <row r="6">
      <c r="A6" s="444" t="s">
        <v>118</v>
      </c>
      <c r="B6" s="179"/>
      <c r="C6" s="179"/>
      <c r="D6" s="448" t="str">
        <f>'Unbalanced PMR Recipe'!L3</f>
        <v>PET NAME</v>
      </c>
      <c r="E6" s="179"/>
      <c r="F6" s="179"/>
      <c r="G6" s="179"/>
      <c r="H6" s="179"/>
      <c r="I6" s="179"/>
      <c r="J6" s="179"/>
      <c r="K6" s="179"/>
      <c r="L6" s="179"/>
      <c r="M6" s="179"/>
      <c r="N6" s="179"/>
      <c r="O6" s="179"/>
      <c r="P6" s="179"/>
      <c r="Q6" s="179"/>
      <c r="R6" s="179"/>
      <c r="S6" s="179"/>
      <c r="T6" s="179"/>
      <c r="U6" s="179"/>
      <c r="V6" s="179"/>
    </row>
    <row r="7">
      <c r="A7" s="444" t="s">
        <v>142</v>
      </c>
      <c r="B7" s="179"/>
      <c r="C7" s="179"/>
      <c r="D7" s="448" t="s">
        <v>220</v>
      </c>
      <c r="E7" s="179"/>
      <c r="F7" s="179"/>
      <c r="G7" s="179"/>
      <c r="H7" s="179"/>
      <c r="I7" s="179"/>
      <c r="J7" s="179"/>
      <c r="K7" s="179"/>
      <c r="L7" s="179"/>
      <c r="M7" s="179"/>
      <c r="N7" s="179"/>
      <c r="O7" s="179"/>
      <c r="P7" s="179"/>
      <c r="Q7" s="179"/>
      <c r="R7" s="179"/>
      <c r="S7" s="179"/>
      <c r="T7" s="179"/>
      <c r="U7" s="179"/>
      <c r="V7" s="179"/>
    </row>
    <row r="8">
      <c r="A8" s="444" t="s">
        <v>122</v>
      </c>
      <c r="B8" s="179"/>
      <c r="C8" s="179"/>
      <c r="D8" s="448" t="s">
        <v>221</v>
      </c>
      <c r="E8" s="179"/>
      <c r="F8" s="179"/>
      <c r="G8" s="179"/>
      <c r="H8" s="179"/>
      <c r="I8" s="179"/>
      <c r="J8" s="179"/>
      <c r="K8" s="179"/>
      <c r="L8" s="179"/>
      <c r="M8" s="179"/>
      <c r="N8" s="179"/>
      <c r="O8" s="179"/>
      <c r="P8" s="179"/>
      <c r="Q8" s="179"/>
      <c r="R8" s="179"/>
      <c r="S8" s="179"/>
      <c r="T8" s="179"/>
      <c r="U8" s="179"/>
      <c r="V8" s="179"/>
    </row>
    <row r="9">
      <c r="A9" s="444" t="s">
        <v>222</v>
      </c>
      <c r="B9" s="179"/>
      <c r="C9" s="179"/>
      <c r="D9" s="448">
        <f>'Unbalanced PMR Recipe'!L4</f>
        <v>50</v>
      </c>
      <c r="E9" s="449" t="str">
        <f>'Unbalanced PMR Recipe'!M4</f>
        <v>LB</v>
      </c>
    </row>
    <row r="10">
      <c r="A10" s="444" t="s">
        <v>223</v>
      </c>
      <c r="B10" s="444"/>
      <c r="C10" s="444"/>
      <c r="D10" s="448">
        <f>D9</f>
        <v>50</v>
      </c>
      <c r="E10" s="177"/>
      <c r="F10" s="177"/>
      <c r="G10" s="177"/>
      <c r="H10" s="177"/>
      <c r="I10" s="177"/>
      <c r="J10" s="177"/>
      <c r="K10" s="177"/>
      <c r="L10" s="177"/>
      <c r="M10" s="177"/>
      <c r="N10" s="177"/>
      <c r="O10" s="177"/>
      <c r="P10" s="177"/>
      <c r="Q10" s="177"/>
      <c r="R10" s="177"/>
      <c r="S10" s="177"/>
      <c r="T10" s="177"/>
      <c r="U10" s="177"/>
      <c r="V10" s="177"/>
    </row>
    <row r="11">
      <c r="A11" s="444" t="s">
        <v>224</v>
      </c>
      <c r="B11" s="179"/>
      <c r="C11" s="179"/>
      <c r="D11" s="450">
        <f>'Unbalanced PMR Recipe'!L6</f>
        <v>1000</v>
      </c>
      <c r="E11" s="179"/>
      <c r="F11" s="179"/>
      <c r="G11" s="179"/>
      <c r="H11" s="179"/>
      <c r="I11" s="179"/>
      <c r="J11" s="179"/>
      <c r="K11" s="179"/>
      <c r="L11" s="179"/>
      <c r="M11" s="179"/>
      <c r="N11" s="179"/>
      <c r="O11" s="179"/>
      <c r="P11" s="179"/>
      <c r="Q11" s="179"/>
      <c r="R11" s="179"/>
      <c r="S11" s="179"/>
      <c r="T11" s="179"/>
      <c r="U11" s="179"/>
      <c r="V11" s="179"/>
    </row>
    <row r="12">
      <c r="A12" s="444" t="s">
        <v>225</v>
      </c>
      <c r="B12" s="444"/>
      <c r="C12" s="444"/>
      <c r="D12" s="451">
        <f>'Balanced Recipe Shopping List'!J5</f>
        <v>30</v>
      </c>
      <c r="E12" s="177"/>
      <c r="F12" s="177"/>
      <c r="G12" s="177"/>
      <c r="H12" s="177"/>
      <c r="I12" s="177"/>
      <c r="J12" s="177"/>
      <c r="K12" s="177"/>
      <c r="L12" s="177"/>
      <c r="M12" s="177"/>
      <c r="N12" s="177"/>
      <c r="O12" s="177"/>
      <c r="P12" s="177"/>
      <c r="Q12" s="177"/>
      <c r="R12" s="177"/>
      <c r="S12" s="177"/>
      <c r="T12" s="177"/>
      <c r="U12" s="177"/>
      <c r="V12" s="177"/>
    </row>
    <row r="13">
      <c r="A13" s="444" t="s">
        <v>226</v>
      </c>
      <c r="B13" s="444"/>
      <c r="C13" s="444"/>
      <c r="D13" s="452" t="str">
        <f>'Balanced Recipe Shopping List'!F24</f>
        <v>Amazon</v>
      </c>
      <c r="E13" s="177"/>
      <c r="F13" s="177"/>
      <c r="G13" s="177"/>
      <c r="H13" s="177"/>
      <c r="I13" s="177"/>
      <c r="J13" s="177"/>
      <c r="K13" s="177"/>
      <c r="L13" s="177"/>
      <c r="M13" s="177"/>
      <c r="N13" s="177"/>
      <c r="O13" s="177"/>
      <c r="P13" s="177"/>
      <c r="Q13" s="177"/>
      <c r="R13" s="177"/>
      <c r="S13" s="177"/>
      <c r="T13" s="177"/>
      <c r="U13" s="177"/>
      <c r="V13" s="177"/>
    </row>
    <row r="14">
      <c r="A14" s="444" t="s">
        <v>227</v>
      </c>
      <c r="B14" s="179"/>
      <c r="C14" s="179"/>
      <c r="D14" s="448" t="s">
        <v>228</v>
      </c>
      <c r="E14" s="179"/>
      <c r="F14" s="179"/>
      <c r="G14" s="179"/>
      <c r="H14" s="179"/>
      <c r="I14" s="179"/>
      <c r="J14" s="179"/>
      <c r="K14" s="179"/>
      <c r="L14" s="179"/>
      <c r="M14" s="179"/>
      <c r="N14" s="179"/>
      <c r="O14" s="179"/>
      <c r="P14" s="179"/>
      <c r="Q14" s="179"/>
      <c r="R14" s="179"/>
      <c r="S14" s="179"/>
      <c r="T14" s="179"/>
      <c r="U14" s="179"/>
      <c r="V14" s="179"/>
    </row>
    <row r="15">
      <c r="A15" s="444" t="s">
        <v>229</v>
      </c>
      <c r="B15" s="444"/>
      <c r="C15" s="444"/>
      <c r="D15" s="448">
        <v>2.0</v>
      </c>
      <c r="E15" s="179"/>
      <c r="F15" s="179"/>
      <c r="G15" s="179"/>
      <c r="H15" s="179"/>
      <c r="I15" s="179"/>
      <c r="J15" s="179"/>
      <c r="K15" s="179"/>
      <c r="L15" s="179"/>
      <c r="M15" s="179"/>
      <c r="N15" s="179"/>
      <c r="O15" s="179"/>
      <c r="P15" s="179"/>
      <c r="Q15" s="179"/>
      <c r="R15" s="179"/>
      <c r="S15" s="179"/>
      <c r="T15" s="179"/>
      <c r="U15" s="179"/>
      <c r="V15" s="179"/>
    </row>
    <row r="16">
      <c r="A16" s="453" t="s">
        <v>230</v>
      </c>
      <c r="B16" s="453"/>
      <c r="C16" s="453"/>
      <c r="D16" s="454">
        <f>'AM Unbalanced PMR Recipe Report'!I56</f>
        <v>220</v>
      </c>
      <c r="E16" s="455"/>
      <c r="F16" s="455"/>
      <c r="G16" s="455"/>
      <c r="H16" s="455"/>
      <c r="I16" s="455"/>
      <c r="J16" s="455"/>
      <c r="K16" s="455"/>
      <c r="L16" s="455"/>
      <c r="M16" s="455"/>
      <c r="N16" s="455"/>
      <c r="O16" s="455"/>
      <c r="P16" s="455"/>
      <c r="Q16" s="455"/>
      <c r="R16" s="455"/>
      <c r="S16" s="455"/>
      <c r="T16" s="455"/>
      <c r="U16" s="455"/>
      <c r="V16" s="455"/>
    </row>
    <row r="17">
      <c r="A17" s="456" t="s">
        <v>231</v>
      </c>
      <c r="H17" s="457"/>
      <c r="I17" s="457"/>
      <c r="J17" s="457"/>
      <c r="K17" s="457"/>
      <c r="L17" s="457"/>
      <c r="M17" s="457"/>
      <c r="N17" s="457"/>
      <c r="O17" s="457"/>
      <c r="P17" s="457"/>
      <c r="Q17" s="457"/>
      <c r="R17" s="457"/>
      <c r="S17" s="457"/>
      <c r="T17" s="457"/>
      <c r="U17" s="457"/>
      <c r="V17" s="457"/>
    </row>
    <row r="18">
      <c r="H18" s="457"/>
      <c r="I18" s="458" t="s">
        <v>232</v>
      </c>
    </row>
    <row r="19">
      <c r="A19" s="457"/>
      <c r="B19" s="459" t="s">
        <v>233</v>
      </c>
    </row>
    <row r="20">
      <c r="A20" s="459" t="s">
        <v>234</v>
      </c>
      <c r="F20" s="460">
        <v>764.2</v>
      </c>
      <c r="L20" s="457"/>
      <c r="M20" s="457"/>
      <c r="N20" s="457"/>
      <c r="O20" s="457"/>
      <c r="P20" s="457"/>
      <c r="Q20" s="457"/>
      <c r="R20" s="457"/>
      <c r="S20" s="457"/>
      <c r="T20" s="457"/>
      <c r="U20" s="457"/>
      <c r="V20" s="457"/>
    </row>
    <row r="21">
      <c r="A21" s="459" t="s">
        <v>235</v>
      </c>
      <c r="F21" s="460">
        <v>1001.642</v>
      </c>
      <c r="L21" s="457"/>
      <c r="M21" s="457"/>
      <c r="N21" s="457"/>
      <c r="O21" s="457"/>
      <c r="P21" s="457"/>
      <c r="Q21" s="457"/>
      <c r="R21" s="457"/>
      <c r="S21" s="457"/>
      <c r="T21" s="457"/>
      <c r="U21" s="457"/>
      <c r="V21" s="457"/>
    </row>
    <row r="22">
      <c r="A22" s="459" t="s">
        <v>236</v>
      </c>
      <c r="F22" s="460">
        <v>134.062</v>
      </c>
      <c r="L22" s="457"/>
      <c r="M22" s="457"/>
      <c r="N22" s="457"/>
      <c r="O22" s="457"/>
      <c r="P22" s="457"/>
      <c r="Q22" s="457"/>
      <c r="R22" s="457"/>
      <c r="S22" s="457"/>
      <c r="T22" s="457"/>
      <c r="U22" s="457"/>
      <c r="V22" s="457"/>
    </row>
    <row r="23">
      <c r="A23" s="459" t="s">
        <v>237</v>
      </c>
      <c r="F23" s="460">
        <v>47.532</v>
      </c>
      <c r="L23" s="457"/>
      <c r="M23" s="457"/>
      <c r="N23" s="457"/>
      <c r="O23" s="457"/>
      <c r="P23" s="457"/>
      <c r="Q23" s="457"/>
      <c r="R23" s="457"/>
      <c r="S23" s="457"/>
      <c r="T23" s="457"/>
      <c r="U23" s="457"/>
      <c r="V23" s="457"/>
    </row>
    <row r="24">
      <c r="A24" s="459" t="s">
        <v>238</v>
      </c>
      <c r="F24" s="460">
        <v>13.294</v>
      </c>
      <c r="L24" s="457"/>
      <c r="M24" s="457"/>
      <c r="N24" s="457"/>
      <c r="O24" s="457"/>
      <c r="P24" s="457"/>
      <c r="Q24" s="457"/>
      <c r="R24" s="457"/>
      <c r="S24" s="457"/>
      <c r="T24" s="457"/>
      <c r="U24" s="457"/>
      <c r="V24" s="457"/>
    </row>
    <row r="25">
      <c r="A25" s="459" t="s">
        <v>239</v>
      </c>
      <c r="F25" s="460">
        <v>11.825</v>
      </c>
      <c r="L25" s="457"/>
      <c r="M25" s="457"/>
      <c r="N25" s="457"/>
      <c r="O25" s="457"/>
      <c r="P25" s="457"/>
      <c r="Q25" s="457"/>
      <c r="R25" s="457"/>
      <c r="S25" s="457"/>
      <c r="T25" s="457"/>
      <c r="U25" s="457"/>
      <c r="V25" s="457"/>
    </row>
    <row r="26">
      <c r="A26" s="459" t="s">
        <v>240</v>
      </c>
      <c r="F26" s="460">
        <v>11.498</v>
      </c>
      <c r="L26" s="457"/>
      <c r="M26" s="457"/>
      <c r="N26" s="457"/>
      <c r="O26" s="457"/>
      <c r="P26" s="457"/>
      <c r="Q26" s="457"/>
      <c r="R26" s="457"/>
      <c r="S26" s="457"/>
      <c r="T26" s="457"/>
      <c r="U26" s="457"/>
      <c r="V26" s="457"/>
    </row>
    <row r="27">
      <c r="A27" s="459" t="s">
        <v>241</v>
      </c>
      <c r="F27" s="460">
        <v>0.25</v>
      </c>
      <c r="L27" s="457"/>
      <c r="M27" s="457"/>
      <c r="N27" s="457"/>
      <c r="O27" s="457"/>
      <c r="P27" s="457"/>
      <c r="Q27" s="457"/>
      <c r="R27" s="457"/>
      <c r="S27" s="457"/>
      <c r="T27" s="457"/>
      <c r="U27" s="457"/>
      <c r="V27" s="457"/>
    </row>
    <row r="28">
      <c r="A28" s="459" t="s">
        <v>242</v>
      </c>
      <c r="F28" s="460">
        <v>0.917</v>
      </c>
      <c r="L28" s="457"/>
      <c r="M28" s="457"/>
      <c r="N28" s="457"/>
      <c r="O28" s="457"/>
      <c r="P28" s="457"/>
      <c r="Q28" s="457"/>
      <c r="R28" s="457"/>
      <c r="S28" s="457"/>
      <c r="T28" s="457"/>
      <c r="U28" s="457"/>
      <c r="V28" s="457"/>
    </row>
    <row r="29">
      <c r="A29" s="459" t="s">
        <v>243</v>
      </c>
      <c r="F29" s="459"/>
      <c r="L29" s="457"/>
      <c r="M29" s="457"/>
      <c r="N29" s="457"/>
      <c r="O29" s="457"/>
      <c r="P29" s="457"/>
      <c r="Q29" s="457"/>
      <c r="R29" s="457"/>
      <c r="S29" s="457"/>
      <c r="T29" s="457"/>
      <c r="U29" s="457"/>
      <c r="V29" s="457"/>
    </row>
    <row r="30">
      <c r="A30" s="459" t="s">
        <v>244</v>
      </c>
      <c r="F30" s="460">
        <v>564.131</v>
      </c>
      <c r="L30" s="457"/>
      <c r="M30" s="457"/>
      <c r="N30" s="457"/>
      <c r="O30" s="457"/>
      <c r="P30" s="457"/>
      <c r="Q30" s="457"/>
      <c r="R30" s="457"/>
      <c r="S30" s="457"/>
      <c r="T30" s="457"/>
      <c r="U30" s="457"/>
      <c r="V30" s="457"/>
    </row>
    <row r="31">
      <c r="A31" s="459" t="s">
        <v>245</v>
      </c>
      <c r="F31" s="460">
        <v>20.914</v>
      </c>
      <c r="L31" s="457"/>
      <c r="M31" s="457"/>
      <c r="N31" s="457"/>
      <c r="O31" s="457"/>
      <c r="P31" s="457"/>
      <c r="Q31" s="457"/>
      <c r="R31" s="457"/>
      <c r="S31" s="457"/>
      <c r="T31" s="457"/>
      <c r="U31" s="457"/>
      <c r="V31" s="457"/>
    </row>
    <row r="32">
      <c r="A32" s="459" t="s">
        <v>246</v>
      </c>
      <c r="F32" s="459"/>
      <c r="L32" s="457"/>
      <c r="M32" s="457"/>
      <c r="N32" s="457"/>
      <c r="O32" s="457"/>
      <c r="P32" s="457"/>
      <c r="Q32" s="457"/>
      <c r="R32" s="457"/>
      <c r="S32" s="457"/>
      <c r="T32" s="457"/>
      <c r="U32" s="457"/>
      <c r="V32" s="457"/>
    </row>
    <row r="33">
      <c r="A33" s="459" t="s">
        <v>247</v>
      </c>
      <c r="F33" s="459"/>
      <c r="L33" s="457"/>
      <c r="M33" s="457"/>
      <c r="N33" s="457"/>
      <c r="O33" s="457"/>
      <c r="P33" s="457"/>
      <c r="Q33" s="457"/>
      <c r="R33" s="457"/>
      <c r="S33" s="457"/>
      <c r="T33" s="457"/>
      <c r="U33" s="457"/>
      <c r="V33" s="457"/>
    </row>
    <row r="34">
      <c r="A34" s="459" t="s">
        <v>248</v>
      </c>
      <c r="F34" s="459"/>
      <c r="L34" s="457"/>
      <c r="M34" s="457"/>
      <c r="N34" s="457"/>
      <c r="O34" s="457"/>
      <c r="P34" s="457"/>
      <c r="Q34" s="457"/>
      <c r="R34" s="457"/>
      <c r="S34" s="457"/>
      <c r="T34" s="457"/>
      <c r="U34" s="457"/>
      <c r="V34" s="457"/>
    </row>
    <row r="35">
      <c r="A35" s="459" t="s">
        <v>249</v>
      </c>
      <c r="F35" s="459"/>
      <c r="L35" s="457"/>
      <c r="M35" s="457"/>
      <c r="N35" s="457"/>
      <c r="O35" s="457"/>
      <c r="P35" s="457"/>
      <c r="Q35" s="457"/>
      <c r="R35" s="457"/>
      <c r="S35" s="457"/>
      <c r="T35" s="457"/>
      <c r="U35" s="457"/>
      <c r="V35" s="457"/>
    </row>
    <row r="36">
      <c r="A36" s="459"/>
      <c r="F36" s="461" t="s">
        <v>250</v>
      </c>
      <c r="M36" s="461" t="s">
        <v>251</v>
      </c>
      <c r="Q36" s="461" t="s">
        <v>252</v>
      </c>
    </row>
    <row r="37">
      <c r="A37" s="459" t="s">
        <v>135</v>
      </c>
      <c r="F37" s="460" t="s">
        <v>253</v>
      </c>
      <c r="M37" s="460" t="s">
        <v>254</v>
      </c>
      <c r="Q37" s="460" t="s">
        <v>255</v>
      </c>
    </row>
    <row r="38">
      <c r="A38" s="459" t="s">
        <v>136</v>
      </c>
      <c r="F38" s="460" t="s">
        <v>256</v>
      </c>
      <c r="M38" s="460" t="s">
        <v>257</v>
      </c>
      <c r="Q38" s="460" t="s">
        <v>258</v>
      </c>
    </row>
    <row r="39">
      <c r="A39" s="459" t="s">
        <v>259</v>
      </c>
      <c r="F39" s="460" t="s">
        <v>260</v>
      </c>
      <c r="M39" s="460" t="s">
        <v>260</v>
      </c>
      <c r="Q39" s="460" t="s">
        <v>260</v>
      </c>
    </row>
    <row r="40">
      <c r="A40" s="459" t="s">
        <v>138</v>
      </c>
      <c r="F40" s="460" t="s">
        <v>260</v>
      </c>
      <c r="M40" s="460" t="s">
        <v>260</v>
      </c>
      <c r="Q40" s="460" t="s">
        <v>260</v>
      </c>
    </row>
    <row r="41">
      <c r="A41" s="459" t="s">
        <v>134</v>
      </c>
      <c r="F41" s="460" t="s">
        <v>261</v>
      </c>
      <c r="M41" s="459"/>
      <c r="Q41" s="460" t="s">
        <v>262</v>
      </c>
    </row>
    <row r="42">
      <c r="A42" s="459" t="s">
        <v>139</v>
      </c>
      <c r="F42" s="460" t="s">
        <v>263</v>
      </c>
      <c r="M42" s="459"/>
      <c r="Q42" s="460" t="s">
        <v>264</v>
      </c>
    </row>
    <row r="43">
      <c r="A43" s="459" t="s">
        <v>265</v>
      </c>
      <c r="J43" s="459"/>
      <c r="N43" s="459"/>
      <c r="S43" s="459"/>
    </row>
    <row r="44">
      <c r="A44" s="459" t="s">
        <v>266</v>
      </c>
      <c r="K44" s="460">
        <v>1.311</v>
      </c>
      <c r="M44" s="460" t="s">
        <v>267</v>
      </c>
      <c r="U44" s="460">
        <v>37.158</v>
      </c>
    </row>
    <row r="45">
      <c r="A45" s="459" t="s">
        <v>268</v>
      </c>
      <c r="K45" s="460">
        <v>133.843</v>
      </c>
      <c r="M45" s="460" t="s">
        <v>269</v>
      </c>
      <c r="U45" s="460">
        <v>594.527</v>
      </c>
    </row>
    <row r="46">
      <c r="A46" s="459" t="s">
        <v>270</v>
      </c>
      <c r="K46" s="460">
        <v>47.454</v>
      </c>
      <c r="M46" s="460" t="s">
        <v>271</v>
      </c>
      <c r="U46" s="460">
        <v>2270.904</v>
      </c>
    </row>
    <row r="47">
      <c r="A47" s="459" t="s">
        <v>272</v>
      </c>
      <c r="K47" s="460">
        <v>0.916</v>
      </c>
      <c r="M47" s="460" t="s">
        <v>273</v>
      </c>
      <c r="U47" s="460">
        <v>1310.707</v>
      </c>
    </row>
    <row r="48">
      <c r="A48" s="459" t="s">
        <v>274</v>
      </c>
      <c r="K48" s="460">
        <v>0.0</v>
      </c>
      <c r="M48" s="460" t="s">
        <v>275</v>
      </c>
      <c r="U48" s="460">
        <v>5006.487</v>
      </c>
    </row>
    <row r="49">
      <c r="A49" s="459" t="s">
        <v>145</v>
      </c>
      <c r="I49" s="459"/>
      <c r="L49" s="457"/>
      <c r="M49" s="457"/>
      <c r="N49" s="457"/>
      <c r="O49" s="459" t="s">
        <v>169</v>
      </c>
      <c r="U49" s="459"/>
    </row>
    <row r="50">
      <c r="A50" s="459" t="s">
        <v>276</v>
      </c>
      <c r="I50" s="460">
        <v>8.64</v>
      </c>
      <c r="L50" s="457"/>
      <c r="M50" s="457"/>
      <c r="N50" s="457"/>
      <c r="O50" s="459" t="s">
        <v>277</v>
      </c>
      <c r="U50" s="460">
        <v>10655.37</v>
      </c>
    </row>
    <row r="51">
      <c r="A51" s="459" t="s">
        <v>278</v>
      </c>
      <c r="I51" s="460">
        <v>3.63</v>
      </c>
      <c r="L51" s="457"/>
      <c r="M51" s="457"/>
      <c r="N51" s="457"/>
      <c r="O51" s="457"/>
      <c r="P51" s="459" t="s">
        <v>279</v>
      </c>
      <c r="U51" s="460">
        <v>35517.89</v>
      </c>
    </row>
    <row r="52">
      <c r="A52" s="459" t="s">
        <v>280</v>
      </c>
      <c r="I52" s="460">
        <v>5.61</v>
      </c>
      <c r="L52" s="457"/>
      <c r="M52" s="457"/>
      <c r="N52" s="457"/>
      <c r="O52" s="457"/>
      <c r="P52" s="459" t="s">
        <v>281</v>
      </c>
      <c r="U52" s="460">
        <v>17762.5</v>
      </c>
    </row>
    <row r="53">
      <c r="A53" s="459" t="s">
        <v>282</v>
      </c>
      <c r="I53" s="460">
        <v>3.0</v>
      </c>
      <c r="L53" s="457"/>
      <c r="M53" s="457"/>
      <c r="N53" s="457"/>
      <c r="O53" s="459" t="s">
        <v>283</v>
      </c>
      <c r="U53" s="460">
        <v>2.61</v>
      </c>
    </row>
    <row r="54">
      <c r="A54" s="459" t="s">
        <v>284</v>
      </c>
      <c r="I54" s="460">
        <v>1.74</v>
      </c>
      <c r="L54" s="457"/>
      <c r="M54" s="457"/>
      <c r="N54" s="457"/>
      <c r="O54" s="459" t="s">
        <v>285</v>
      </c>
      <c r="U54" s="460">
        <v>104.24</v>
      </c>
    </row>
    <row r="55">
      <c r="A55" s="459" t="s">
        <v>286</v>
      </c>
      <c r="I55" s="460">
        <v>4.74</v>
      </c>
      <c r="L55" s="457"/>
      <c r="M55" s="457"/>
      <c r="N55" s="457"/>
      <c r="O55" s="459" t="s">
        <v>287</v>
      </c>
      <c r="U55" s="460">
        <v>1.02</v>
      </c>
    </row>
    <row r="56">
      <c r="A56" s="459" t="s">
        <v>288</v>
      </c>
      <c r="I56" s="460">
        <v>10.77</v>
      </c>
      <c r="L56" s="457"/>
      <c r="M56" s="457"/>
      <c r="N56" s="457"/>
      <c r="O56" s="457"/>
      <c r="P56" s="459" t="s">
        <v>289</v>
      </c>
      <c r="U56" s="460">
        <v>1.53</v>
      </c>
    </row>
    <row r="57">
      <c r="A57" s="459" t="s">
        <v>290</v>
      </c>
      <c r="I57" s="460">
        <v>11.79</v>
      </c>
      <c r="L57" s="457"/>
      <c r="M57" s="457"/>
      <c r="N57" s="457"/>
      <c r="O57" s="457"/>
      <c r="P57" s="459" t="s">
        <v>291</v>
      </c>
      <c r="U57" s="460">
        <v>1.12</v>
      </c>
    </row>
    <row r="58">
      <c r="A58" s="459" t="s">
        <v>292</v>
      </c>
      <c r="I58" s="460">
        <v>5.62</v>
      </c>
      <c r="L58" s="457"/>
      <c r="M58" s="457"/>
      <c r="N58" s="457"/>
      <c r="O58" s="459" t="s">
        <v>293</v>
      </c>
      <c r="U58" s="460">
        <v>0.0</v>
      </c>
    </row>
    <row r="59">
      <c r="A59" s="459" t="s">
        <v>294</v>
      </c>
      <c r="I59" s="460">
        <v>4.85</v>
      </c>
      <c r="L59" s="457"/>
      <c r="M59" s="457"/>
      <c r="N59" s="457"/>
      <c r="O59" s="459" t="s">
        <v>295</v>
      </c>
      <c r="U59" s="460">
        <v>38.7</v>
      </c>
    </row>
    <row r="60">
      <c r="A60" s="459" t="s">
        <v>296</v>
      </c>
      <c r="I60" s="460">
        <v>10.47</v>
      </c>
      <c r="L60" s="457"/>
      <c r="M60" s="457"/>
      <c r="N60" s="457"/>
      <c r="O60" s="459" t="s">
        <v>297</v>
      </c>
      <c r="U60" s="460">
        <v>1.05</v>
      </c>
    </row>
    <row r="61">
      <c r="A61" s="459" t="s">
        <v>298</v>
      </c>
      <c r="I61" s="460">
        <v>5.88</v>
      </c>
      <c r="L61" s="457"/>
      <c r="M61" s="457"/>
      <c r="N61" s="457"/>
      <c r="O61" s="459" t="s">
        <v>299</v>
      </c>
      <c r="U61" s="460">
        <v>6.12</v>
      </c>
    </row>
    <row r="62">
      <c r="A62" s="459" t="s">
        <v>300</v>
      </c>
      <c r="I62" s="460">
        <v>1.75</v>
      </c>
      <c r="L62" s="457"/>
      <c r="M62" s="457"/>
      <c r="N62" s="457"/>
      <c r="O62" s="459" t="s">
        <v>301</v>
      </c>
      <c r="U62" s="460">
        <v>58.8</v>
      </c>
    </row>
    <row r="63">
      <c r="A63" s="459" t="s">
        <v>302</v>
      </c>
      <c r="I63" s="460">
        <v>6.31</v>
      </c>
      <c r="L63" s="457"/>
      <c r="M63" s="457"/>
      <c r="N63" s="457"/>
      <c r="O63" s="459" t="s">
        <v>303</v>
      </c>
      <c r="U63" s="460">
        <v>18.55</v>
      </c>
    </row>
    <row r="64">
      <c r="A64" s="459" t="s">
        <v>304</v>
      </c>
      <c r="I64" s="460">
        <v>21.12</v>
      </c>
      <c r="L64" s="457"/>
      <c r="M64" s="457"/>
      <c r="N64" s="457"/>
      <c r="O64" s="459" t="s">
        <v>305</v>
      </c>
      <c r="U64" s="460">
        <v>4.47</v>
      </c>
    </row>
    <row r="65">
      <c r="A65" s="459" t="s">
        <v>306</v>
      </c>
      <c r="I65" s="460">
        <v>7.76</v>
      </c>
      <c r="L65" s="457"/>
      <c r="M65" s="457"/>
      <c r="N65" s="457"/>
      <c r="O65" s="459" t="s">
        <v>307</v>
      </c>
      <c r="U65" s="460">
        <v>272.79</v>
      </c>
    </row>
    <row r="66">
      <c r="A66" s="459" t="s">
        <v>308</v>
      </c>
      <c r="I66" s="459"/>
      <c r="L66" s="457"/>
      <c r="M66" s="457"/>
      <c r="N66" s="457"/>
      <c r="O66" s="459" t="s">
        <v>309</v>
      </c>
      <c r="U66" s="460">
        <v>911.82</v>
      </c>
    </row>
    <row r="67">
      <c r="A67" s="457"/>
      <c r="B67" s="457"/>
      <c r="C67" s="457"/>
      <c r="D67" s="457"/>
      <c r="E67" s="457"/>
      <c r="F67" s="457"/>
      <c r="G67" s="457"/>
      <c r="H67" s="457"/>
      <c r="I67" s="457"/>
      <c r="J67" s="457"/>
      <c r="K67" s="457"/>
      <c r="L67" s="457"/>
      <c r="M67" s="457"/>
      <c r="N67" s="457"/>
      <c r="O67" s="459" t="s">
        <v>310</v>
      </c>
      <c r="U67" s="460">
        <v>85.12</v>
      </c>
    </row>
    <row r="68">
      <c r="A68" s="459" t="s">
        <v>311</v>
      </c>
      <c r="I68" s="459"/>
      <c r="L68" s="457"/>
      <c r="M68" s="457"/>
      <c r="N68" s="457"/>
      <c r="O68" s="459" t="s">
        <v>312</v>
      </c>
      <c r="U68" s="460">
        <v>578.87</v>
      </c>
    </row>
    <row r="69">
      <c r="A69" s="459" t="s">
        <v>313</v>
      </c>
      <c r="I69" s="460">
        <v>9.06</v>
      </c>
      <c r="L69" s="457"/>
      <c r="M69" s="457"/>
      <c r="N69" s="457"/>
      <c r="O69" s="457"/>
      <c r="P69" s="457"/>
      <c r="Q69" s="457"/>
      <c r="R69" s="457"/>
      <c r="S69" s="457"/>
      <c r="T69" s="457"/>
      <c r="U69" s="457"/>
      <c r="V69" s="457"/>
    </row>
    <row r="70">
      <c r="A70" s="459" t="s">
        <v>314</v>
      </c>
      <c r="I70" s="460">
        <v>0.26</v>
      </c>
      <c r="L70" s="457"/>
      <c r="M70" s="457"/>
      <c r="N70" s="457"/>
      <c r="O70" s="459" t="s">
        <v>183</v>
      </c>
      <c r="U70" s="459"/>
    </row>
    <row r="71">
      <c r="A71" s="459" t="s">
        <v>315</v>
      </c>
      <c r="I71" s="460">
        <v>0.96</v>
      </c>
      <c r="L71" s="457"/>
      <c r="M71" s="457"/>
      <c r="N71" s="457"/>
    </row>
    <row r="72">
      <c r="L72" s="457"/>
      <c r="M72" s="457"/>
      <c r="N72" s="457"/>
      <c r="O72" s="459" t="s">
        <v>316</v>
      </c>
      <c r="U72" s="460">
        <v>2.7</v>
      </c>
    </row>
    <row r="73">
      <c r="A73" s="459" t="s">
        <v>317</v>
      </c>
      <c r="I73" s="460">
        <v>0.02</v>
      </c>
      <c r="L73" s="457"/>
      <c r="M73" s="457"/>
      <c r="N73" s="457"/>
    </row>
    <row r="74">
      <c r="L74" s="457"/>
      <c r="M74" s="457"/>
      <c r="N74" s="457"/>
      <c r="O74" s="459" t="s">
        <v>318</v>
      </c>
      <c r="U74" s="460">
        <v>2.65</v>
      </c>
    </row>
    <row r="75">
      <c r="A75" s="459" t="s">
        <v>319</v>
      </c>
      <c r="I75" s="460">
        <v>0.07</v>
      </c>
      <c r="L75" s="457"/>
      <c r="M75" s="457"/>
      <c r="N75" s="457"/>
    </row>
    <row r="76">
      <c r="L76" s="457"/>
      <c r="M76" s="457"/>
      <c r="N76" s="457"/>
      <c r="O76" s="459" t="s">
        <v>320</v>
      </c>
      <c r="U76" s="460">
        <v>208.93</v>
      </c>
    </row>
    <row r="77">
      <c r="A77" s="459" t="s">
        <v>321</v>
      </c>
      <c r="I77" s="460">
        <v>0.09</v>
      </c>
      <c r="L77" s="457"/>
      <c r="M77" s="457"/>
      <c r="N77" s="457"/>
    </row>
    <row r="78">
      <c r="L78" s="457"/>
      <c r="M78" s="457"/>
      <c r="N78" s="457"/>
      <c r="O78" s="459" t="s">
        <v>322</v>
      </c>
      <c r="U78" s="460">
        <v>721.12</v>
      </c>
    </row>
    <row r="79">
      <c r="A79" s="459" t="s">
        <v>323</v>
      </c>
      <c r="I79" s="460">
        <v>0.02</v>
      </c>
      <c r="L79" s="457"/>
      <c r="M79" s="457"/>
      <c r="N79" s="457"/>
    </row>
    <row r="80">
      <c r="L80" s="457"/>
      <c r="M80" s="457"/>
      <c r="N80" s="457"/>
      <c r="O80" s="459" t="s">
        <v>324</v>
      </c>
      <c r="U80" s="460">
        <v>1.63</v>
      </c>
    </row>
    <row r="81">
      <c r="A81" s="459" t="s">
        <v>325</v>
      </c>
      <c r="I81" s="460">
        <v>0.01</v>
      </c>
      <c r="L81" s="457"/>
      <c r="M81" s="457"/>
      <c r="N81" s="457"/>
    </row>
    <row r="82">
      <c r="L82" s="457"/>
      <c r="M82" s="457"/>
      <c r="N82" s="457"/>
      <c r="O82" s="459" t="s">
        <v>326</v>
      </c>
      <c r="U82" s="460">
        <v>1081.67</v>
      </c>
    </row>
    <row r="83">
      <c r="A83" s="457"/>
      <c r="B83" s="457"/>
      <c r="C83" s="457"/>
      <c r="D83" s="457"/>
      <c r="E83" s="457"/>
      <c r="F83" s="457"/>
      <c r="G83" s="457"/>
      <c r="H83" s="457"/>
      <c r="I83" s="457"/>
      <c r="J83" s="457"/>
      <c r="K83" s="457"/>
      <c r="L83" s="457"/>
      <c r="M83" s="457"/>
      <c r="N83" s="457"/>
      <c r="O83" s="459" t="s">
        <v>327</v>
      </c>
      <c r="U83" s="460">
        <v>25.24</v>
      </c>
    </row>
    <row r="84">
      <c r="A84" s="457"/>
      <c r="B84" s="459" t="s">
        <v>328</v>
      </c>
      <c r="H84" s="459"/>
      <c r="L84" s="457"/>
      <c r="M84" s="457"/>
      <c r="N84" s="457"/>
    </row>
    <row r="85">
      <c r="A85" s="457"/>
      <c r="L85" s="457"/>
      <c r="M85" s="457"/>
      <c r="N85" s="457"/>
      <c r="O85" s="459" t="s">
        <v>329</v>
      </c>
      <c r="U85" s="460">
        <v>2.6</v>
      </c>
    </row>
    <row r="86">
      <c r="A86" s="457"/>
      <c r="L86" s="457"/>
      <c r="M86" s="457"/>
      <c r="N86" s="457"/>
      <c r="O86" s="459" t="s">
        <v>330</v>
      </c>
      <c r="U86" s="460">
        <v>18.8</v>
      </c>
    </row>
    <row r="87">
      <c r="A87" s="457"/>
      <c r="B87" s="459" t="s">
        <v>331</v>
      </c>
      <c r="H87" s="460">
        <v>0.0</v>
      </c>
      <c r="L87" s="457"/>
      <c r="M87" s="457"/>
      <c r="N87" s="457"/>
    </row>
    <row r="88">
      <c r="A88" s="457"/>
      <c r="L88" s="457"/>
      <c r="M88" s="457"/>
      <c r="N88" s="457"/>
      <c r="O88" s="459" t="s">
        <v>332</v>
      </c>
      <c r="U88" s="460">
        <v>0.98</v>
      </c>
    </row>
    <row r="89">
      <c r="A89" s="457"/>
      <c r="B89" s="459" t="s">
        <v>333</v>
      </c>
      <c r="H89" s="460">
        <v>0.0</v>
      </c>
      <c r="L89" s="457"/>
      <c r="M89" s="457"/>
      <c r="N89" s="457"/>
    </row>
    <row r="90">
      <c r="A90" s="457"/>
      <c r="L90" s="457"/>
      <c r="M90" s="457"/>
      <c r="N90" s="457"/>
      <c r="O90" s="459" t="s">
        <v>334</v>
      </c>
      <c r="U90" s="460">
        <v>266.4</v>
      </c>
    </row>
    <row r="91">
      <c r="A91" s="457"/>
      <c r="B91" s="459" t="s">
        <v>335</v>
      </c>
      <c r="H91" s="460">
        <v>0.0</v>
      </c>
      <c r="L91" s="457"/>
      <c r="M91" s="457"/>
      <c r="N91" s="457"/>
    </row>
    <row r="92">
      <c r="A92" s="457"/>
      <c r="L92" s="457"/>
      <c r="M92" s="457"/>
      <c r="N92" s="457"/>
      <c r="O92" s="459" t="s">
        <v>336</v>
      </c>
      <c r="U92" s="459"/>
    </row>
    <row r="93">
      <c r="A93" s="459" t="s">
        <v>337</v>
      </c>
      <c r="H93" s="459"/>
      <c r="L93" s="459"/>
      <c r="P93" s="459"/>
      <c r="S93" s="459"/>
    </row>
    <row r="94">
      <c r="A94" s="459" t="s">
        <v>199</v>
      </c>
      <c r="H94" s="460" t="s">
        <v>338</v>
      </c>
      <c r="L94" s="459"/>
      <c r="P94" s="459" t="s">
        <v>339</v>
      </c>
      <c r="S94" s="460" t="s">
        <v>340</v>
      </c>
    </row>
    <row r="95">
      <c r="A95" s="459" t="s">
        <v>341</v>
      </c>
      <c r="H95" s="460" t="s">
        <v>342</v>
      </c>
      <c r="L95" s="459"/>
      <c r="P95" s="459" t="s">
        <v>343</v>
      </c>
      <c r="S95" s="460" t="s">
        <v>344</v>
      </c>
    </row>
    <row r="96">
      <c r="A96" s="456" t="s">
        <v>127</v>
      </c>
      <c r="P96" s="457"/>
      <c r="Q96" s="457"/>
      <c r="R96" s="457"/>
      <c r="S96" s="457"/>
      <c r="T96" s="457"/>
      <c r="U96" s="457"/>
      <c r="V96" s="457"/>
    </row>
    <row r="97">
      <c r="A97" s="460" t="s">
        <v>128</v>
      </c>
      <c r="D97" s="459" t="s">
        <v>345</v>
      </c>
      <c r="G97" s="462" t="s">
        <v>346</v>
      </c>
      <c r="R97" s="463" t="s">
        <v>347</v>
      </c>
      <c r="T97" s="463" t="s">
        <v>348</v>
      </c>
      <c r="V97" s="460" t="s">
        <v>349</v>
      </c>
    </row>
    <row r="98">
      <c r="A98" s="460">
        <v>405.0</v>
      </c>
      <c r="D98" s="459" t="s">
        <v>350</v>
      </c>
      <c r="G98" s="464" t="str">
        <f>'Unbalanced PMR Recipe Shopping '!A15</f>
        <v>Rabbit, skinless, without organs, without fur</v>
      </c>
      <c r="R98" s="465">
        <v>405.0</v>
      </c>
      <c r="T98" s="465">
        <v>514.35</v>
      </c>
      <c r="V98" s="460">
        <v>17177.0</v>
      </c>
    </row>
    <row r="99">
      <c r="A99" s="460">
        <v>229.3</v>
      </c>
      <c r="D99" s="459" t="s">
        <v>350</v>
      </c>
      <c r="G99" s="466" t="str">
        <f>'Unbalanced PMR Recipe Shopping '!A16</f>
        <v>Rabbit Heart</v>
      </c>
      <c r="R99" s="467">
        <v>229.3</v>
      </c>
      <c r="T99" s="467">
        <v>321.02</v>
      </c>
      <c r="V99" s="460">
        <v>5175.0</v>
      </c>
    </row>
    <row r="100">
      <c r="A100" s="460">
        <v>129.9</v>
      </c>
      <c r="D100" s="459" t="s">
        <v>350</v>
      </c>
      <c r="G100" s="464" t="str">
        <f>'Unbalanced PMR Recipe Shopping '!A17</f>
        <v>Rabbit Liver</v>
      </c>
      <c r="R100" s="465">
        <v>129.9</v>
      </c>
      <c r="T100" s="465">
        <v>166.272</v>
      </c>
      <c r="V100" s="460">
        <v>5177.0</v>
      </c>
    </row>
    <row r="101">
      <c r="A101" s="456" t="s">
        <v>351</v>
      </c>
    </row>
    <row r="102">
      <c r="A102" s="468">
        <v>1.0</v>
      </c>
      <c r="C102" s="457" t="s">
        <v>352</v>
      </c>
    </row>
    <row r="103">
      <c r="A103" s="468">
        <v>2.0</v>
      </c>
      <c r="C103" s="457" t="s">
        <v>353</v>
      </c>
    </row>
    <row r="104">
      <c r="A104" s="468">
        <v>3.0</v>
      </c>
      <c r="C104" s="457" t="s">
        <v>354</v>
      </c>
    </row>
    <row r="105">
      <c r="A105" s="468">
        <v>4.0</v>
      </c>
      <c r="C105" s="457" t="s">
        <v>355</v>
      </c>
    </row>
    <row r="106">
      <c r="A106" s="468">
        <v>5.0</v>
      </c>
      <c r="C106" s="457" t="s">
        <v>356</v>
      </c>
    </row>
    <row r="107">
      <c r="A107" s="468">
        <v>6.0</v>
      </c>
      <c r="C107" s="457" t="s">
        <v>357</v>
      </c>
    </row>
    <row r="108">
      <c r="A108" s="468">
        <v>7.0</v>
      </c>
      <c r="C108" s="457" t="s">
        <v>358</v>
      </c>
    </row>
    <row r="109">
      <c r="A109" s="468">
        <v>8.0</v>
      </c>
      <c r="C109" s="457" t="s">
        <v>359</v>
      </c>
    </row>
    <row r="110">
      <c r="A110" s="468">
        <v>9.0</v>
      </c>
      <c r="C110" s="457" t="s">
        <v>360</v>
      </c>
    </row>
    <row r="111">
      <c r="A111" s="468">
        <v>10.0</v>
      </c>
      <c r="C111" s="457" t="s">
        <v>361</v>
      </c>
    </row>
    <row r="112">
      <c r="A112" s="459" t="s">
        <v>362</v>
      </c>
      <c r="E112" s="459"/>
    </row>
    <row r="113">
      <c r="A113" s="457"/>
      <c r="C113" s="457" t="s">
        <v>363</v>
      </c>
    </row>
    <row r="114">
      <c r="A114" s="469" t="s">
        <v>364</v>
      </c>
    </row>
    <row r="115">
      <c r="A115" s="468"/>
      <c r="C115" s="457"/>
    </row>
    <row r="116">
      <c r="A116" s="468"/>
      <c r="C116" s="457"/>
    </row>
    <row r="117">
      <c r="A117" s="468"/>
      <c r="C117" s="457"/>
    </row>
    <row r="118">
      <c r="A118" s="468"/>
      <c r="C118" s="457"/>
    </row>
    <row r="119">
      <c r="A119" s="468"/>
      <c r="C119" s="457"/>
    </row>
    <row r="120">
      <c r="A120" s="468"/>
      <c r="C120" s="457"/>
    </row>
    <row r="121">
      <c r="A121" s="468"/>
      <c r="C121" s="457"/>
    </row>
    <row r="122">
      <c r="A122" s="459"/>
      <c r="E122" s="469"/>
    </row>
    <row r="123">
      <c r="A123" s="469"/>
      <c r="C123" s="457"/>
    </row>
    <row r="124">
      <c r="A124" s="458"/>
    </row>
  </sheetData>
  <mergeCells count="319">
    <mergeCell ref="A23:E23"/>
    <mergeCell ref="A24:E24"/>
    <mergeCell ref="F24:K24"/>
    <mergeCell ref="A25:E25"/>
    <mergeCell ref="F25:K25"/>
    <mergeCell ref="A26:E26"/>
    <mergeCell ref="F26:K26"/>
    <mergeCell ref="A27:E27"/>
    <mergeCell ref="F27:K27"/>
    <mergeCell ref="A28:E28"/>
    <mergeCell ref="F28:K28"/>
    <mergeCell ref="A29:E29"/>
    <mergeCell ref="F29:K29"/>
    <mergeCell ref="F30:K30"/>
    <mergeCell ref="A37:E37"/>
    <mergeCell ref="A38:E38"/>
    <mergeCell ref="A30:E30"/>
    <mergeCell ref="A31:E31"/>
    <mergeCell ref="A32:E32"/>
    <mergeCell ref="A33:E33"/>
    <mergeCell ref="A34:E34"/>
    <mergeCell ref="A35:E35"/>
    <mergeCell ref="A36:E36"/>
    <mergeCell ref="A1:C1"/>
    <mergeCell ref="D1:V1"/>
    <mergeCell ref="D2:V2"/>
    <mergeCell ref="D3:V3"/>
    <mergeCell ref="D4:V4"/>
    <mergeCell ref="A5:C5"/>
    <mergeCell ref="D5:V5"/>
    <mergeCell ref="A6:C6"/>
    <mergeCell ref="D6:V6"/>
    <mergeCell ref="A7:C7"/>
    <mergeCell ref="D7:V7"/>
    <mergeCell ref="A8:C8"/>
    <mergeCell ref="D8:V8"/>
    <mergeCell ref="E9:V10"/>
    <mergeCell ref="B19:V19"/>
    <mergeCell ref="F20:K20"/>
    <mergeCell ref="F21:K21"/>
    <mergeCell ref="F22:K22"/>
    <mergeCell ref="F23:K23"/>
    <mergeCell ref="D11:V11"/>
    <mergeCell ref="D12:V12"/>
    <mergeCell ref="D13:V13"/>
    <mergeCell ref="D14:V14"/>
    <mergeCell ref="D15:V15"/>
    <mergeCell ref="D16:V16"/>
    <mergeCell ref="I18:V18"/>
    <mergeCell ref="A9:C9"/>
    <mergeCell ref="A11:C11"/>
    <mergeCell ref="A14:C14"/>
    <mergeCell ref="A17:G18"/>
    <mergeCell ref="A20:E20"/>
    <mergeCell ref="A21:E21"/>
    <mergeCell ref="A22:E22"/>
    <mergeCell ref="F36:L36"/>
    <mergeCell ref="F37:L37"/>
    <mergeCell ref="M37:P37"/>
    <mergeCell ref="Q37:V37"/>
    <mergeCell ref="F38:L38"/>
    <mergeCell ref="M38:P38"/>
    <mergeCell ref="Q38:V38"/>
    <mergeCell ref="F31:K31"/>
    <mergeCell ref="F32:K32"/>
    <mergeCell ref="F33:K33"/>
    <mergeCell ref="F34:K34"/>
    <mergeCell ref="F35:K35"/>
    <mergeCell ref="M36:P36"/>
    <mergeCell ref="Q36:V36"/>
    <mergeCell ref="J43:M43"/>
    <mergeCell ref="N43:R43"/>
    <mergeCell ref="S43:V43"/>
    <mergeCell ref="A44:J44"/>
    <mergeCell ref="K44:L44"/>
    <mergeCell ref="M44:T44"/>
    <mergeCell ref="U44:V44"/>
    <mergeCell ref="A45:J45"/>
    <mergeCell ref="K45:L45"/>
    <mergeCell ref="M45:T45"/>
    <mergeCell ref="U45:V45"/>
    <mergeCell ref="A46:J46"/>
    <mergeCell ref="K46:L46"/>
    <mergeCell ref="M46:T46"/>
    <mergeCell ref="U46:V46"/>
    <mergeCell ref="A47:J47"/>
    <mergeCell ref="K47:L47"/>
    <mergeCell ref="Q42:V42"/>
    <mergeCell ref="A43:I43"/>
    <mergeCell ref="F42:L42"/>
    <mergeCell ref="M42:P42"/>
    <mergeCell ref="M47:T47"/>
    <mergeCell ref="U47:V47"/>
    <mergeCell ref="K48:L48"/>
    <mergeCell ref="M48:T48"/>
    <mergeCell ref="U48:V48"/>
    <mergeCell ref="A50:H50"/>
    <mergeCell ref="I50:K50"/>
    <mergeCell ref="O50:T50"/>
    <mergeCell ref="U50:V50"/>
    <mergeCell ref="A51:H51"/>
    <mergeCell ref="I51:K51"/>
    <mergeCell ref="P51:T51"/>
    <mergeCell ref="U51:V51"/>
    <mergeCell ref="A52:H52"/>
    <mergeCell ref="I52:K52"/>
    <mergeCell ref="P52:T52"/>
    <mergeCell ref="U52:V52"/>
    <mergeCell ref="A53:H53"/>
    <mergeCell ref="I53:K53"/>
    <mergeCell ref="O55:T55"/>
    <mergeCell ref="P56:T56"/>
    <mergeCell ref="O49:T49"/>
    <mergeCell ref="U49:V49"/>
    <mergeCell ref="O53:T53"/>
    <mergeCell ref="U53:V53"/>
    <mergeCell ref="O54:T54"/>
    <mergeCell ref="U54:V54"/>
    <mergeCell ref="U55:V55"/>
    <mergeCell ref="U56:V56"/>
    <mergeCell ref="A57:H57"/>
    <mergeCell ref="I57:K57"/>
    <mergeCell ref="P57:T57"/>
    <mergeCell ref="U57:V57"/>
    <mergeCell ref="A58:H58"/>
    <mergeCell ref="I58:K58"/>
    <mergeCell ref="O58:T58"/>
    <mergeCell ref="U58:V58"/>
    <mergeCell ref="A59:H59"/>
    <mergeCell ref="I59:K59"/>
    <mergeCell ref="O59:T59"/>
    <mergeCell ref="U59:V59"/>
    <mergeCell ref="A60:H60"/>
    <mergeCell ref="I60:K60"/>
    <mergeCell ref="O60:T60"/>
    <mergeCell ref="U60:V60"/>
    <mergeCell ref="O61:T61"/>
    <mergeCell ref="O62:T62"/>
    <mergeCell ref="A56:H56"/>
    <mergeCell ref="I56:K56"/>
    <mergeCell ref="A61:H61"/>
    <mergeCell ref="I61:K61"/>
    <mergeCell ref="U61:V61"/>
    <mergeCell ref="I62:K62"/>
    <mergeCell ref="U62:V62"/>
    <mergeCell ref="I63:K63"/>
    <mergeCell ref="O63:T63"/>
    <mergeCell ref="U63:V63"/>
    <mergeCell ref="A64:H64"/>
    <mergeCell ref="I64:K64"/>
    <mergeCell ref="O64:T64"/>
    <mergeCell ref="U64:V64"/>
    <mergeCell ref="A65:H65"/>
    <mergeCell ref="I65:K65"/>
    <mergeCell ref="O65:T65"/>
    <mergeCell ref="U65:V65"/>
    <mergeCell ref="A66:H66"/>
    <mergeCell ref="I66:K66"/>
    <mergeCell ref="O66:T66"/>
    <mergeCell ref="U66:V66"/>
    <mergeCell ref="O67:T67"/>
    <mergeCell ref="U67:V67"/>
    <mergeCell ref="A62:H62"/>
    <mergeCell ref="A63:H63"/>
    <mergeCell ref="A68:H68"/>
    <mergeCell ref="I68:K68"/>
    <mergeCell ref="O68:T68"/>
    <mergeCell ref="U68:V68"/>
    <mergeCell ref="I69:K69"/>
    <mergeCell ref="A69:H69"/>
    <mergeCell ref="A70:H70"/>
    <mergeCell ref="I70:K70"/>
    <mergeCell ref="O70:T71"/>
    <mergeCell ref="U70:V71"/>
    <mergeCell ref="A71:H72"/>
    <mergeCell ref="I71:K72"/>
    <mergeCell ref="A73:H74"/>
    <mergeCell ref="I73:K74"/>
    <mergeCell ref="O74:T75"/>
    <mergeCell ref="U74:V75"/>
    <mergeCell ref="A75:H76"/>
    <mergeCell ref="I75:K76"/>
    <mergeCell ref="O76:T77"/>
    <mergeCell ref="U76:V77"/>
    <mergeCell ref="A77:H78"/>
    <mergeCell ref="I77:K78"/>
    <mergeCell ref="O78:T79"/>
    <mergeCell ref="U78:V79"/>
    <mergeCell ref="A79:H80"/>
    <mergeCell ref="I79:K80"/>
    <mergeCell ref="O72:T73"/>
    <mergeCell ref="U72:V73"/>
    <mergeCell ref="O80:T81"/>
    <mergeCell ref="U80:V81"/>
    <mergeCell ref="A81:H82"/>
    <mergeCell ref="I81:K82"/>
    <mergeCell ref="U82:V82"/>
    <mergeCell ref="O82:T82"/>
    <mergeCell ref="O83:T84"/>
    <mergeCell ref="U83:V84"/>
    <mergeCell ref="B84:G86"/>
    <mergeCell ref="H84:K86"/>
    <mergeCell ref="O85:T85"/>
    <mergeCell ref="U85:V85"/>
    <mergeCell ref="C123:V123"/>
    <mergeCell ref="A124:V124"/>
    <mergeCell ref="C116:V116"/>
    <mergeCell ref="C117:V117"/>
    <mergeCell ref="C118:V118"/>
    <mergeCell ref="C119:V119"/>
    <mergeCell ref="C120:V120"/>
    <mergeCell ref="C121:V121"/>
    <mergeCell ref="E122:V122"/>
    <mergeCell ref="A112:D112"/>
    <mergeCell ref="A113:B113"/>
    <mergeCell ref="C113:V113"/>
    <mergeCell ref="A114:V114"/>
    <mergeCell ref="G99:Q99"/>
    <mergeCell ref="G100:Q100"/>
    <mergeCell ref="A109:B109"/>
    <mergeCell ref="C109:V109"/>
    <mergeCell ref="A110:B110"/>
    <mergeCell ref="C110:V110"/>
    <mergeCell ref="A111:B111"/>
    <mergeCell ref="C111:V111"/>
    <mergeCell ref="E112:V112"/>
    <mergeCell ref="A116:B116"/>
    <mergeCell ref="A117:B117"/>
    <mergeCell ref="A118:B118"/>
    <mergeCell ref="A119:B119"/>
    <mergeCell ref="A120:B120"/>
    <mergeCell ref="A121:B121"/>
    <mergeCell ref="A122:D122"/>
    <mergeCell ref="A123:B123"/>
    <mergeCell ref="A115:B115"/>
    <mergeCell ref="F39:L39"/>
    <mergeCell ref="M39:P39"/>
    <mergeCell ref="Q39:V39"/>
    <mergeCell ref="Q40:V40"/>
    <mergeCell ref="Q41:V41"/>
    <mergeCell ref="B87:G88"/>
    <mergeCell ref="H87:K88"/>
    <mergeCell ref="O88:T89"/>
    <mergeCell ref="U88:V89"/>
    <mergeCell ref="B89:G90"/>
    <mergeCell ref="H89:K90"/>
    <mergeCell ref="O90:T91"/>
    <mergeCell ref="U90:V91"/>
    <mergeCell ref="B91:G92"/>
    <mergeCell ref="H91:K92"/>
    <mergeCell ref="O92:T92"/>
    <mergeCell ref="U92:V92"/>
    <mergeCell ref="A93:G93"/>
    <mergeCell ref="H93:K93"/>
    <mergeCell ref="C115:V115"/>
    <mergeCell ref="F40:L40"/>
    <mergeCell ref="M40:P40"/>
    <mergeCell ref="A40:E40"/>
    <mergeCell ref="A41:E41"/>
    <mergeCell ref="F41:L41"/>
    <mergeCell ref="M41:P41"/>
    <mergeCell ref="A39:E39"/>
    <mergeCell ref="A42:E42"/>
    <mergeCell ref="A48:J48"/>
    <mergeCell ref="A49:H49"/>
    <mergeCell ref="I49:K49"/>
    <mergeCell ref="A54:H54"/>
    <mergeCell ref="I54:K54"/>
    <mergeCell ref="A55:H55"/>
    <mergeCell ref="I55:K55"/>
    <mergeCell ref="A94:G94"/>
    <mergeCell ref="A95:G95"/>
    <mergeCell ref="H95:K95"/>
    <mergeCell ref="L95:O95"/>
    <mergeCell ref="P95:R95"/>
    <mergeCell ref="S95:V95"/>
    <mergeCell ref="A96:O96"/>
    <mergeCell ref="L94:O94"/>
    <mergeCell ref="P94:R94"/>
    <mergeCell ref="O86:T87"/>
    <mergeCell ref="U86:V87"/>
    <mergeCell ref="L93:O93"/>
    <mergeCell ref="P93:R93"/>
    <mergeCell ref="S93:V93"/>
    <mergeCell ref="H94:K94"/>
    <mergeCell ref="S94:V94"/>
    <mergeCell ref="G98:Q98"/>
    <mergeCell ref="R98:S98"/>
    <mergeCell ref="A97:C97"/>
    <mergeCell ref="D97:F97"/>
    <mergeCell ref="G97:Q97"/>
    <mergeCell ref="R97:S97"/>
    <mergeCell ref="T97:U97"/>
    <mergeCell ref="A98:C98"/>
    <mergeCell ref="D98:F98"/>
    <mergeCell ref="T98:U98"/>
    <mergeCell ref="A99:C99"/>
    <mergeCell ref="D99:F99"/>
    <mergeCell ref="R99:S99"/>
    <mergeCell ref="T99:U99"/>
    <mergeCell ref="A100:C100"/>
    <mergeCell ref="D100:F100"/>
    <mergeCell ref="T100:U100"/>
    <mergeCell ref="R100:S100"/>
    <mergeCell ref="A105:B105"/>
    <mergeCell ref="C105:V105"/>
    <mergeCell ref="A101:V101"/>
    <mergeCell ref="A102:B102"/>
    <mergeCell ref="C102:V102"/>
    <mergeCell ref="A103:B103"/>
    <mergeCell ref="C103:V103"/>
    <mergeCell ref="A104:B104"/>
    <mergeCell ref="C104:V104"/>
    <mergeCell ref="A106:B106"/>
    <mergeCell ref="C106:V106"/>
    <mergeCell ref="A107:B107"/>
    <mergeCell ref="C107:V107"/>
    <mergeCell ref="A108:B108"/>
    <mergeCell ref="C108:V108"/>
  </mergeCells>
  <conditionalFormatting sqref="D1:D11 E1:H8 E11:H11 D14:H16">
    <cfRule type="containsBlanks" dxfId="6" priority="1">
      <formula>LEN(TRIM(D1))=0</formula>
    </cfRule>
  </conditionalFormatting>
  <dataValidations>
    <dataValidation type="list" allowBlank="1" sqref="D1">
      <formula1>"Ronny LeJeune,Michelle Lowe"</formula1>
    </dataValidation>
    <dataValidation type="list" allowBlank="1" sqref="D8">
      <formula1>"ADULT MAINTENANCE,GROWTH &amp; DEVELOPMENT,GESTATION &amp; LACTATION,ALL LIFE STAGE"</formula1>
    </dataValidation>
    <dataValidation type="list" allowBlank="1" sqref="D2">
      <formula1>"Adult Maintenance Meal Plan,Adult Maintenance Single Recipe,Growth &amp; Development Meal Plan,Growth &amp; Development Single Recipe,Limited Ingredient Meal Plan,Limited Ingredient Single Recipe,All Life Stage Meal Plan,All Life Stage Single Recipe,Therapeutic M"&amp;"eal Plan,Therapeutic Single Recipe,3 Day Balance Over Time Meal Plan,6 Day Balance Over Time Meal Plan,Basic Phone Consultation,Deluxe Phone Consultation,Therapeutic Phone Consultation,Recipe Analysis &amp; Adjustment"</formula1>
    </dataValidation>
    <dataValidation type="list" allowBlank="1" sqref="D3">
      <formula1>"Adult Maintenance Recipe Formulation Adjustment,Growth &amp; Development Recipe Formulation Adjustment,Limited Ingredient Recipe Formulation Adjustment,All Life Stage Recipe Formulation Adjustment,Therapeutic Recipe Formulation Adjustment,3 Day Balance Over T"&amp;"ime Formulation Adjustment,6 Day Balance Over Time Formulation Adjustment,Commercial Formulation Adjustments"</formula1>
    </dataValidation>
    <dataValidation type="list" allowBlank="1" sqref="D7">
      <formula1>"Dog,Cat"</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5.63"/>
    <col customWidth="1" min="2" max="2" width="26.75"/>
    <col customWidth="1" min="3" max="3" width="8.25"/>
    <col customWidth="1" min="4" max="4" width="1.88"/>
    <col customWidth="1" min="5" max="5" width="8.25"/>
    <col customWidth="1" min="6" max="10" width="9.0"/>
  </cols>
  <sheetData>
    <row r="1">
      <c r="A1" s="391" t="str">
        <f>CONCATENATE('Unbalanced PMR Recipe'!A1," SHOPPING LIST")</f>
        <v>UNBALANCED PMR RECIPE SHOPPING LIST</v>
      </c>
    </row>
    <row r="2" ht="15.75" customHeight="1">
      <c r="A2" s="470"/>
      <c r="B2" s="471"/>
      <c r="C2" s="470"/>
      <c r="D2" s="470"/>
      <c r="F2" s="470"/>
      <c r="G2" s="470"/>
      <c r="H2" s="470"/>
      <c r="I2" s="470"/>
      <c r="J2" s="470"/>
    </row>
    <row r="3" ht="15.75" customHeight="1">
      <c r="A3" s="394" t="s">
        <v>118</v>
      </c>
      <c r="B3" s="177"/>
      <c r="C3" s="394"/>
      <c r="D3" s="394"/>
      <c r="E3" s="177"/>
      <c r="F3" s="394"/>
      <c r="G3" s="394"/>
      <c r="H3" s="394"/>
      <c r="I3" s="394"/>
      <c r="J3" s="398" t="str">
        <f>Cover!B8</f>
        <v>PET NAME</v>
      </c>
    </row>
    <row r="4" ht="15.75" customHeight="1">
      <c r="A4" s="400" t="s">
        <v>122</v>
      </c>
      <c r="B4" s="179"/>
      <c r="C4" s="400"/>
      <c r="D4" s="400"/>
      <c r="E4" s="179"/>
      <c r="F4" s="400"/>
      <c r="G4" s="400"/>
      <c r="H4" s="399" t="str">
        <f>'Unbalanced PMR Recipe'!K5</f>
        <v>ALL LIFE STAGE</v>
      </c>
      <c r="I4" s="179"/>
      <c r="J4" s="179"/>
    </row>
    <row r="5" ht="15.75" customHeight="1">
      <c r="A5" s="400" t="str">
        <f>concatenate('Balanced Recipe Shopping List'!$J$5," Day Total Weight in ",'Unbalanced PMR Recipe'!$M$4)</f>
        <v>30 Day Total Weight in LB</v>
      </c>
      <c r="B5" s="179"/>
      <c r="C5" s="400"/>
      <c r="D5" s="400"/>
      <c r="E5" s="179"/>
      <c r="F5" s="400"/>
      <c r="G5" s="400"/>
      <c r="H5" s="400"/>
      <c r="I5" s="400"/>
      <c r="J5" s="399" t="str">
        <f>sum(H26)</f>
        <v>#N/A</v>
      </c>
    </row>
    <row r="6" ht="15.75" customHeight="1">
      <c r="A6" s="401" t="str">
        <f>concatenate("Average Price Per ",'Unbalanced PMR Recipe'!$M$4)</f>
        <v>Average Price Per LB</v>
      </c>
      <c r="B6" s="179"/>
      <c r="C6" s="401"/>
      <c r="D6" s="401"/>
      <c r="E6" s="179"/>
      <c r="F6" s="401"/>
      <c r="G6" s="401"/>
      <c r="H6" s="401"/>
      <c r="I6" s="401"/>
      <c r="J6" s="397" t="str">
        <f>sum(J9/J5)</f>
        <v>#REF!</v>
      </c>
    </row>
    <row r="7" ht="15.75" hidden="1" customHeight="1">
      <c r="A7" s="401" t="s">
        <v>203</v>
      </c>
      <c r="B7" s="179"/>
      <c r="C7" s="401"/>
      <c r="D7" s="401"/>
      <c r="E7" s="179"/>
      <c r="F7" s="401"/>
      <c r="G7" s="401"/>
      <c r="H7" s="401"/>
      <c r="I7" s="401"/>
      <c r="J7" s="214">
        <v>1.0</v>
      </c>
    </row>
    <row r="8" ht="15.75" customHeight="1">
      <c r="A8" s="402" t="s">
        <v>204</v>
      </c>
      <c r="B8" s="405"/>
      <c r="C8" s="402"/>
      <c r="D8" s="402"/>
      <c r="E8" s="403"/>
      <c r="F8" s="402"/>
      <c r="G8" s="402"/>
      <c r="H8" s="402"/>
      <c r="I8" s="402"/>
      <c r="J8" s="404" t="str">
        <f>J9/#REF!</f>
        <v>#REF!</v>
      </c>
    </row>
    <row r="9" ht="15.75" customHeight="1">
      <c r="A9" s="406" t="str">
        <f>CONCATENATE("Estimated ",'Balanced Recipe Shopping List'!$J$5," Day Budget")</f>
        <v>Estimated 30 Day Budget</v>
      </c>
      <c r="B9" s="409"/>
      <c r="C9" s="406"/>
      <c r="D9" s="406"/>
      <c r="E9" s="407"/>
      <c r="F9" s="406"/>
      <c r="G9" s="406"/>
      <c r="H9" s="406"/>
      <c r="I9" s="406"/>
      <c r="J9" s="408" t="str">
        <f>sum(H39+J26+H54)</f>
        <v>#REF!</v>
      </c>
    </row>
    <row r="10" ht="15.75" customHeight="1">
      <c r="A10" s="203"/>
      <c r="B10" s="203"/>
      <c r="C10" s="410"/>
      <c r="D10" s="203"/>
      <c r="E10" s="203"/>
      <c r="F10" s="411"/>
      <c r="G10" s="411"/>
      <c r="H10" s="411"/>
      <c r="I10" s="411"/>
      <c r="J10" s="411"/>
    </row>
    <row r="11">
      <c r="A11" s="203"/>
      <c r="B11" s="203"/>
      <c r="C11" s="410"/>
      <c r="D11" s="203"/>
      <c r="E11" s="203"/>
      <c r="F11" s="412" t="s">
        <v>205</v>
      </c>
      <c r="G11" s="413"/>
      <c r="H11" s="413"/>
      <c r="I11" s="413"/>
      <c r="J11" s="414"/>
    </row>
    <row r="12">
      <c r="A12" s="472"/>
      <c r="B12" s="473"/>
      <c r="C12" s="474"/>
      <c r="D12" s="475"/>
      <c r="E12" s="473"/>
      <c r="F12" s="476" t="str">
        <f>concatenate("Amount needed for ", sum('Recipe 2 Data'!D12/J7), " days")</f>
        <v>#REF!</v>
      </c>
      <c r="J12" s="477"/>
    </row>
    <row r="13">
      <c r="A13" s="415" t="s">
        <v>206</v>
      </c>
      <c r="B13" s="234"/>
      <c r="C13" s="416" t="s">
        <v>207</v>
      </c>
      <c r="D13" s="230" t="s">
        <v>208</v>
      </c>
      <c r="E13" s="417" t="str">
        <f>'Unbalanced PMR Recipe'!$M$4</f>
        <v>LB</v>
      </c>
      <c r="F13" s="478" t="s">
        <v>365</v>
      </c>
      <c r="G13" s="479"/>
      <c r="H13" s="480" t="s">
        <v>366</v>
      </c>
      <c r="I13" s="481"/>
      <c r="J13" s="482"/>
    </row>
    <row r="14">
      <c r="A14" s="419" t="s">
        <v>367</v>
      </c>
      <c r="B14" s="239"/>
      <c r="C14" s="420">
        <f>if('Unbalanced PMR Recipe'!$M$4="LB",2.5,if('Unbalanced PMR Recipe'!$M$4="KG",sum(2.5*2.20462),""))</f>
        <v>2.5</v>
      </c>
      <c r="D14" s="421" t="s">
        <v>208</v>
      </c>
      <c r="E14" s="422" t="str">
        <f t="shared" ref="E14:E24" si="1">$E$13</f>
        <v>LB</v>
      </c>
      <c r="F14" s="483">
        <f>if( $E$13="LB",sum(( 'Unbalanced PMR Recipe'!H11)*('Balanced Recipe Shopping List'!$J$5/$J$7))/16,sum(( 'Unbalanced PMR Recipe'!J11)*('Balanced Recipe Shopping List'!$J$5/$J$7))/1000)</f>
        <v>26.74180424</v>
      </c>
      <c r="G14" s="484" t="str">
        <f t="shared" ref="G14:G25" si="2">E14</f>
        <v>LB</v>
      </c>
      <c r="H14" s="485" t="str">
        <f>sum(F14/(vlookup(A14,'Cooking Yield Data'!$A$1:$C$1014,2,false)))</f>
        <v>#N/A</v>
      </c>
      <c r="I14" s="424" t="str">
        <f t="shared" ref="I14:I25" si="3">E14</f>
        <v>LB</v>
      </c>
      <c r="J14" s="486" t="str">
        <f t="shared" ref="J14:J25" si="4">sum(H14*C14)</f>
        <v>#N/A</v>
      </c>
    </row>
    <row r="15">
      <c r="A15" s="426" t="s">
        <v>368</v>
      </c>
      <c r="B15" s="427"/>
      <c r="C15" s="428">
        <f>if('Unbalanced PMR Recipe'!$M$4="LB",2.5,if('Unbalanced PMR Recipe'!$M$4="KG",sum(2.5*2.20462),""))</f>
        <v>2.5</v>
      </c>
      <c r="D15" s="429" t="s">
        <v>208</v>
      </c>
      <c r="E15" s="430" t="str">
        <f t="shared" si="1"/>
        <v>LB</v>
      </c>
      <c r="F15" s="487">
        <f>if( $E$13="LB",sum(( 'Unbalanced PMR Recipe'!H12)*('Balanced Recipe Shopping List'!$J$5/$J$7))/16,sum(( 'Unbalanced PMR Recipe'!J12)*('Balanced Recipe Shopping List'!$J$5/$J$7))/1000)</f>
        <v>15.14048324</v>
      </c>
      <c r="G15" s="432" t="str">
        <f t="shared" si="2"/>
        <v>LB</v>
      </c>
      <c r="H15" s="488" t="str">
        <f>sum(F15/(vlookup(A15,'Cooking Yield Data'!$A$1:$C$1014,2,false)))</f>
        <v>#N/A</v>
      </c>
      <c r="I15" s="432" t="str">
        <f t="shared" si="3"/>
        <v>LB</v>
      </c>
      <c r="J15" s="489" t="str">
        <f t="shared" si="4"/>
        <v>#N/A</v>
      </c>
    </row>
    <row r="16">
      <c r="A16" s="419" t="s">
        <v>369</v>
      </c>
      <c r="B16" s="239"/>
      <c r="C16" s="420">
        <f>if('Unbalanced PMR Recipe'!$M$4="LB",2.5,if('Unbalanced PMR Recipe'!$M$4="KG",sum(2.5*2.20462),""))</f>
        <v>2.5</v>
      </c>
      <c r="D16" s="421" t="s">
        <v>208</v>
      </c>
      <c r="E16" s="422" t="str">
        <f t="shared" si="1"/>
        <v>LB</v>
      </c>
      <c r="F16" s="490">
        <f>if( $E$13="LB",sum(( 'Unbalanced PMR Recipe'!H13)*('Balanced Recipe Shopping List'!$J$5/$J$7))/16,sum(( 'Unbalanced PMR Recipe'!J13)*('Balanced Recipe Shopping List'!$J$5/$J$7))/1000)</f>
        <v>8.577186102</v>
      </c>
      <c r="G16" s="424" t="str">
        <f t="shared" si="2"/>
        <v>LB</v>
      </c>
      <c r="H16" s="485" t="str">
        <f>sum(F16/(vlookup(A16,'Cooking Yield Data'!$A$1:$C$1014,2,false)))</f>
        <v>#N/A</v>
      </c>
      <c r="I16" s="424" t="str">
        <f t="shared" si="3"/>
        <v>LB</v>
      </c>
      <c r="J16" s="486" t="str">
        <f t="shared" si="4"/>
        <v>#N/A</v>
      </c>
    </row>
    <row r="17">
      <c r="A17" s="426" t="s">
        <v>370</v>
      </c>
      <c r="B17" s="427"/>
      <c r="C17" s="428">
        <f>if('Unbalanced PMR Recipe'!$M$4="LB",2.5,if('Unbalanced PMR Recipe'!$M$4="KG",sum(2.5*2.20462),""))</f>
        <v>2.5</v>
      </c>
      <c r="D17" s="429" t="s">
        <v>208</v>
      </c>
      <c r="E17" s="430" t="str">
        <f t="shared" si="1"/>
        <v>LB</v>
      </c>
      <c r="F17" s="487">
        <v>0.0</v>
      </c>
      <c r="G17" s="432" t="str">
        <f t="shared" si="2"/>
        <v>LB</v>
      </c>
      <c r="H17" s="491" t="str">
        <f>if( $E$13="LB",sum(( #REF!)*('Balanced Recipe Shopping List'!$J$5/$J$7))/16,sum(( #REF!)*('Balanced Recipe Shopping List'!$J$5/$J$7))/1000)</f>
        <v>#REF!</v>
      </c>
      <c r="I17" s="432" t="str">
        <f t="shared" si="3"/>
        <v>LB</v>
      </c>
      <c r="J17" s="489" t="str">
        <f t="shared" si="4"/>
        <v>#REF!</v>
      </c>
    </row>
    <row r="18">
      <c r="A18" s="419" t="s">
        <v>371</v>
      </c>
      <c r="B18" s="239"/>
      <c r="C18" s="420">
        <f>if('Unbalanced PMR Recipe'!$M$4="LB",2.5,if('Unbalanced PMR Recipe'!$M$4="KG",sum(2.5*2.20462),""))</f>
        <v>2.5</v>
      </c>
      <c r="D18" s="421" t="s">
        <v>208</v>
      </c>
      <c r="E18" s="422" t="str">
        <f t="shared" si="1"/>
        <v>LB</v>
      </c>
      <c r="F18" s="490">
        <v>0.0</v>
      </c>
      <c r="G18" s="492" t="str">
        <f t="shared" si="2"/>
        <v>LB</v>
      </c>
      <c r="H18" s="493" t="str">
        <f>if( $E$13="LB",sum(( #REF!)*('Balanced Recipe Shopping List'!$J$5/$J$7))/16,sum(( #REF!)*('Balanced Recipe Shopping List'!$J$5/$J$7))/1000)</f>
        <v>#REF!</v>
      </c>
      <c r="I18" s="492" t="str">
        <f t="shared" si="3"/>
        <v>LB</v>
      </c>
      <c r="J18" s="486" t="str">
        <f t="shared" si="4"/>
        <v>#REF!</v>
      </c>
    </row>
    <row r="19">
      <c r="A19" s="426" t="s">
        <v>372</v>
      </c>
      <c r="B19" s="427"/>
      <c r="C19" s="428">
        <f>if('Unbalanced PMR Recipe'!$M$4="LB",2.5,if('Unbalanced PMR Recipe'!$M$4="KG",sum(2.5*2.20462),""))</f>
        <v>2.5</v>
      </c>
      <c r="D19" s="429" t="s">
        <v>208</v>
      </c>
      <c r="E19" s="430" t="str">
        <f t="shared" si="1"/>
        <v>LB</v>
      </c>
      <c r="F19" s="487" t="str">
        <f>if( $E$13="LB",sum(( #REF!)*('Balanced Recipe Shopping List'!$J$5/$J$7))/16,sum(( #REF!)*('Balanced Recipe Shopping List'!$J$5/$J$7))/1000)</f>
        <v>#REF!</v>
      </c>
      <c r="G19" s="432" t="str">
        <f t="shared" si="2"/>
        <v>LB</v>
      </c>
      <c r="H19" s="488" t="str">
        <f>sum(F19/(vlookup(A19,'Cooking Yield Data'!$A$1:$C$1014,2,false)))</f>
        <v>#REF!</v>
      </c>
      <c r="I19" s="432" t="str">
        <f t="shared" si="3"/>
        <v>LB</v>
      </c>
      <c r="J19" s="489" t="str">
        <f t="shared" si="4"/>
        <v>#REF!</v>
      </c>
    </row>
    <row r="20">
      <c r="A20" s="419" t="s">
        <v>373</v>
      </c>
      <c r="B20" s="239"/>
      <c r="C20" s="420">
        <f>if('Unbalanced PMR Recipe'!$M$4="LB",2.5,if('Unbalanced PMR Recipe'!$M$4="KG",sum(2.5*2.20462),""))</f>
        <v>2.5</v>
      </c>
      <c r="D20" s="421" t="s">
        <v>208</v>
      </c>
      <c r="E20" s="422" t="str">
        <f t="shared" si="1"/>
        <v>LB</v>
      </c>
      <c r="F20" s="490" t="str">
        <f>if( $E$13="LB",sum(( #REF!)*('Balanced Recipe Shopping List'!$J$5/$J$7))/16,sum(( #REF!)*('Balanced Recipe Shopping List'!$J$5/$J$7))/1000)</f>
        <v>#REF!</v>
      </c>
      <c r="G20" s="424" t="str">
        <f t="shared" si="2"/>
        <v>LB</v>
      </c>
      <c r="H20" s="485" t="str">
        <f>sum(F20/(vlookup(A20,'Cooking Yield Data'!$A$1:$C$1014,2,false)))</f>
        <v>#REF!</v>
      </c>
      <c r="I20" s="424" t="str">
        <f t="shared" si="3"/>
        <v>LB</v>
      </c>
      <c r="J20" s="486" t="str">
        <f t="shared" si="4"/>
        <v>#REF!</v>
      </c>
    </row>
    <row r="21">
      <c r="A21" s="426" t="s">
        <v>374</v>
      </c>
      <c r="B21" s="427"/>
      <c r="C21" s="428">
        <f>if('Unbalanced PMR Recipe'!$M$4="LB",2.5,if('Unbalanced PMR Recipe'!$M$4="KG",sum(2.5*2.20462),""))</f>
        <v>2.5</v>
      </c>
      <c r="D21" s="429" t="s">
        <v>208</v>
      </c>
      <c r="E21" s="430" t="str">
        <f t="shared" si="1"/>
        <v>LB</v>
      </c>
      <c r="F21" s="487" t="str">
        <f>if( $E$13="LB",sum(( #REF!)*('Balanced Recipe Shopping List'!$J$5/$J$7))/16,sum(( #REF!)*('Balanced Recipe Shopping List'!$J$5/$J$7))/1000)</f>
        <v>#REF!</v>
      </c>
      <c r="G21" s="432" t="str">
        <f t="shared" si="2"/>
        <v>LB</v>
      </c>
      <c r="H21" s="488" t="str">
        <f>sum(F21/(vlookup(A21,'Cooking Yield Data'!$A$1:$C$1014,2,false)))</f>
        <v>#REF!</v>
      </c>
      <c r="I21" s="432" t="str">
        <f t="shared" si="3"/>
        <v>LB</v>
      </c>
      <c r="J21" s="489" t="str">
        <f t="shared" si="4"/>
        <v>#REF!</v>
      </c>
    </row>
    <row r="22">
      <c r="A22" s="419" t="s">
        <v>375</v>
      </c>
      <c r="B22" s="239"/>
      <c r="C22" s="420">
        <f>if('Unbalanced PMR Recipe'!$M$4="LB",2.5,if('Unbalanced PMR Recipe'!$M$4="KG",sum(2.5*2.20462),""))</f>
        <v>2.5</v>
      </c>
      <c r="D22" s="421" t="s">
        <v>208</v>
      </c>
      <c r="E22" s="422" t="str">
        <f t="shared" si="1"/>
        <v>LB</v>
      </c>
      <c r="F22" s="490" t="str">
        <f>if( $E$13="LB",sum(( #REF!)*('Balanced Recipe Shopping List'!$J$5/$J$7))/16,sum(( #REF!)*('Balanced Recipe Shopping List'!$J$5/$J$7))/1000)</f>
        <v>#REF!</v>
      </c>
      <c r="G22" s="424" t="str">
        <f t="shared" si="2"/>
        <v>LB</v>
      </c>
      <c r="H22" s="485" t="str">
        <f>sum(F22/(vlookup(A22,'Cooking Yield Data'!$A$1:$C$1014,2,false)))</f>
        <v>#REF!</v>
      </c>
      <c r="I22" s="424" t="str">
        <f t="shared" si="3"/>
        <v>LB</v>
      </c>
      <c r="J22" s="486" t="str">
        <f t="shared" si="4"/>
        <v>#REF!</v>
      </c>
    </row>
    <row r="23">
      <c r="A23" s="426" t="s">
        <v>376</v>
      </c>
      <c r="B23" s="427"/>
      <c r="C23" s="428">
        <f>if('Unbalanced PMR Recipe'!$M$4="LB",2.5,if('Unbalanced PMR Recipe'!$M$4="KG",sum(2.5*2.20462),""))</f>
        <v>2.5</v>
      </c>
      <c r="D23" s="429" t="s">
        <v>208</v>
      </c>
      <c r="E23" s="430" t="str">
        <f t="shared" si="1"/>
        <v>LB</v>
      </c>
      <c r="F23" s="487" t="str">
        <f>if( $E$13="LB",sum(( #REF!)*('Balanced Recipe Shopping List'!$J$5/$J$7))/16,sum(( #REF!)*('Balanced Recipe Shopping List'!$J$5/$J$7))/1000)</f>
        <v>#REF!</v>
      </c>
      <c r="G23" s="432" t="str">
        <f t="shared" si="2"/>
        <v>LB</v>
      </c>
      <c r="H23" s="488" t="str">
        <f>sum(F23/(vlookup(A23,'Cooking Yield Data'!$A$1:$C$1014,2,false)))</f>
        <v>#REF!</v>
      </c>
      <c r="I23" s="432" t="str">
        <f t="shared" si="3"/>
        <v>LB</v>
      </c>
      <c r="J23" s="489" t="str">
        <f t="shared" si="4"/>
        <v>#REF!</v>
      </c>
    </row>
    <row r="24">
      <c r="A24" s="419" t="s">
        <v>377</v>
      </c>
      <c r="B24" s="239"/>
      <c r="C24" s="420">
        <f>if('Unbalanced PMR Recipe'!$M$4="LB",2.5,if('Unbalanced PMR Recipe'!$M$4="KG",sum(2.5*2.20462),""))</f>
        <v>2.5</v>
      </c>
      <c r="D24" s="421" t="s">
        <v>208</v>
      </c>
      <c r="E24" s="422" t="str">
        <f t="shared" si="1"/>
        <v>LB</v>
      </c>
      <c r="F24" s="490" t="str">
        <f>if( $E$13="LB",sum(( #REF!)*('Balanced Recipe Shopping List'!$J$5/$J$7))/16,sum(( #REF!)*('Balanced Recipe Shopping List'!$J$5/$J$7))/1000)</f>
        <v>#REF!</v>
      </c>
      <c r="G24" s="424" t="str">
        <f t="shared" si="2"/>
        <v>LB</v>
      </c>
      <c r="H24" s="485" t="str">
        <f>sum(F24/(vlookup(A24,'Cooking Yield Data'!$A$1:$C$1014,2,false)))</f>
        <v>#REF!</v>
      </c>
      <c r="I24" s="424" t="str">
        <f t="shared" si="3"/>
        <v>LB</v>
      </c>
      <c r="J24" s="486" t="str">
        <f t="shared" si="4"/>
        <v>#REF!</v>
      </c>
    </row>
    <row r="25">
      <c r="A25" s="426" t="s">
        <v>378</v>
      </c>
      <c r="B25" s="427"/>
      <c r="C25" s="428">
        <f>if('Unbalanced PMR Recipe'!$M$4="LB",2.5,if('Unbalanced PMR Recipe'!$M$4="KG",sum(2.5*2.20462),""))</f>
        <v>2.5</v>
      </c>
      <c r="D25" s="429" t="s">
        <v>208</v>
      </c>
      <c r="E25" s="430" t="s">
        <v>379</v>
      </c>
      <c r="F25" s="494" t="str">
        <f>if( $E$13="LB",sum(( #REF!)*('Balanced Recipe Shopping List'!$J$5/$J$7))/12,sum(( #REF!/50)*('Balanced Recipe Shopping List'!$J$5/$J$7))/12)</f>
        <v>#REF!</v>
      </c>
      <c r="G25" s="495" t="str">
        <f t="shared" si="2"/>
        <v>DOZ</v>
      </c>
      <c r="H25" s="496" t="str">
        <f>F25</f>
        <v>#REF!</v>
      </c>
      <c r="I25" s="495" t="str">
        <f t="shared" si="3"/>
        <v>DOZ</v>
      </c>
      <c r="J25" s="497" t="str">
        <f t="shared" si="4"/>
        <v>#REF!</v>
      </c>
    </row>
    <row r="26">
      <c r="A26" s="434"/>
      <c r="B26" s="438"/>
      <c r="C26" s="435"/>
      <c r="D26" s="436"/>
      <c r="E26" s="437"/>
      <c r="F26" s="498" t="str">
        <f>sum( F14:F25)</f>
        <v>#REF!</v>
      </c>
      <c r="G26" s="499" t="str">
        <f>$E$13</f>
        <v>LB</v>
      </c>
      <c r="H26" s="500" t="str">
        <f>sum(H14:H25)</f>
        <v>#N/A</v>
      </c>
      <c r="I26" s="501" t="str">
        <f>$E$13</f>
        <v>LB</v>
      </c>
      <c r="J26" s="502" t="str">
        <f>sum(J14:J25)</f>
        <v>#N/A</v>
      </c>
    </row>
    <row r="27" ht="15.75" customHeight="1">
      <c r="A27" s="434"/>
      <c r="B27" s="438"/>
      <c r="C27" s="503"/>
      <c r="D27" s="436"/>
      <c r="E27" s="437"/>
      <c r="F27" s="277"/>
      <c r="G27" s="504"/>
      <c r="H27" s="504"/>
      <c r="I27" s="504"/>
      <c r="J27" s="505"/>
    </row>
    <row r="28">
      <c r="A28" s="203"/>
      <c r="B28" s="203"/>
      <c r="C28" s="410"/>
      <c r="D28" s="203"/>
      <c r="E28" s="203"/>
      <c r="G28" s="411"/>
      <c r="H28" s="412" t="s">
        <v>380</v>
      </c>
      <c r="I28" s="413"/>
      <c r="J28" s="414"/>
    </row>
    <row r="29">
      <c r="A29" s="415" t="s">
        <v>381</v>
      </c>
      <c r="B29" s="234"/>
      <c r="C29" s="416" t="s">
        <v>207</v>
      </c>
      <c r="D29" s="230" t="s">
        <v>208</v>
      </c>
      <c r="E29" s="417" t="s">
        <v>382</v>
      </c>
      <c r="F29" s="231" t="str">
        <f>#REF!</f>
        <v>#REF!</v>
      </c>
      <c r="G29" s="232"/>
      <c r="H29" s="418" t="str">
        <f>concatenate("Amount needed for ", sum('Recipe 2 Data'!D12), " days")</f>
        <v>#REF!</v>
      </c>
      <c r="I29" s="232"/>
      <c r="J29" s="234"/>
    </row>
    <row r="30">
      <c r="A30" s="506" t="s">
        <v>383</v>
      </c>
      <c r="B30" s="239"/>
      <c r="C30" s="507" t="str">
        <f>IF($F$29="Amazon",vlookup(A30,'Supplement Master List'!$A$2:$Q$1032,10,false),IF($F$29="iHerb",vlookup(A30,'Supplement Master List'!$A$2:$Q$1032,14,false)," "))</f>
        <v>#REF!</v>
      </c>
      <c r="D30" s="508" t="s">
        <v>208</v>
      </c>
      <c r="E30" s="509" t="str">
        <f>IF($F$29="Amazon",vlookup(A30,'Supplement Master List'!$A$2:$Q$1032,11,false),IF($F$29="iHerb",vlookup(A30,'Supplement Master List'!$A$2:$Q$1032,15,false)," "))</f>
        <v>#REF!</v>
      </c>
      <c r="F30" s="510" t="str">
        <f>if($F$29="Amazon",vlookup(A30,'Supplement Master List'!$A$2:$Q$1032,12,false),if($F$29="iHerb",vlookup(A30,'Supplement Master List'!$A$2:$Q$1032,13,false)))</f>
        <v>#REF!</v>
      </c>
      <c r="G30" s="239"/>
      <c r="H30" s="511" t="str">
        <f>sum( #REF!)*'Balanced Recipe Shopping List'!$J$5</f>
        <v>#REF!</v>
      </c>
      <c r="I30" s="512" t="str">
        <f>vlookup(A30,'Supplement Master List'!$A$2:$Q$1032,8,false)</f>
        <v>#N/A</v>
      </c>
      <c r="J30" s="425" t="str">
        <f>sum(C30/(vlookup(A30,'Supplement Master List'!$A$2:$Q$1032,16,false)))*H30</f>
        <v>#REF!</v>
      </c>
    </row>
    <row r="31">
      <c r="A31" s="513" t="s">
        <v>172</v>
      </c>
      <c r="B31" s="248"/>
      <c r="C31" s="514" t="str">
        <f>IF($F$29="Amazon",vlookup(A31,'Supplement Master List'!$A$2:$Q$1032,10,false),IF($F$29="iHerb",vlookup(A31,'Supplement Master List'!$A$2:$Q$1032,14,false)," "))</f>
        <v>#REF!</v>
      </c>
      <c r="D31" s="515" t="s">
        <v>208</v>
      </c>
      <c r="E31" s="516" t="str">
        <f>IF($F$29="Amazon",vlookup(A31,'Supplement Master List'!$A$2:$Q$1032,11,false),IF($F$29="iHerb",vlookup(A31,'Supplement Master List'!$A$2:$Q$1032,15,false)," "))</f>
        <v>#REF!</v>
      </c>
      <c r="F31" s="517" t="str">
        <f>if($F$29="Amazon",vlookup(A31,'Supplement Master List'!$A$2:$Q$1032,12,false),if($F$29="iHerb",vlookup(A31,'Supplement Master List'!$A$2:$Q$1032,13,false)))</f>
        <v>#REF!</v>
      </c>
      <c r="G31" s="248"/>
      <c r="H31" s="518" t="str">
        <f>sum(#REF!)*'Balanced Recipe Shopping List'!$J$5</f>
        <v>#REF!</v>
      </c>
      <c r="I31" s="519" t="str">
        <f>vlookup(A31,'Supplement Master List'!$A$2:$Q$1032,8,false)</f>
        <v>#N/A</v>
      </c>
      <c r="J31" s="520" t="str">
        <f>sum(C31/(vlookup(A31,'Supplement Master List'!$A$2:$Q$1032,16,false)))*H31</f>
        <v>#REF!</v>
      </c>
    </row>
    <row r="32">
      <c r="A32" s="521" t="s">
        <v>136</v>
      </c>
      <c r="B32" s="239"/>
      <c r="C32" s="507" t="str">
        <f>IF($F$29="Amazon",vlookup(A32,'Supplement Master List'!$A$2:$Q$1032,10,false),IF($F$29="iHerb",vlookup(A32,'Supplement Master List'!$A$2:$Q$1032,14,false)," "))</f>
        <v>#REF!</v>
      </c>
      <c r="D32" s="508" t="s">
        <v>208</v>
      </c>
      <c r="E32" s="509" t="str">
        <f>IF($F$29="Amazon",vlookup(A32,'Supplement Master List'!$A$2:$Q$1032,11,false),IF($F$29="iHerb",vlookup(A32,'Supplement Master List'!$A$2:$Q$1032,15,false)," "))</f>
        <v>#REF!</v>
      </c>
      <c r="F32" s="510" t="str">
        <f>if($F$29="Amazon",vlookup(A32,'Supplement Master List'!$A$2:$Q$1032,12,false),if($F$29="iHerb",vlookup(A32,'Supplement Master List'!$A$2:$Q$1032,13,false)))</f>
        <v>#REF!</v>
      </c>
      <c r="G32" s="239"/>
      <c r="H32" s="511" t="str">
        <f>sum(#REF!)*'Balanced Recipe Shopping List'!$J$5</f>
        <v>#REF!</v>
      </c>
      <c r="I32" s="512" t="str">
        <f>vlookup(A32,'Supplement Master List'!$A$2:$Q$1032,8,false)</f>
        <v>#N/A</v>
      </c>
      <c r="J32" s="425" t="str">
        <f>sum(C32/(vlookup(A32,'Supplement Master List'!$A$2:$Q$1032,16,false)))*H32</f>
        <v>#REF!</v>
      </c>
    </row>
    <row r="33">
      <c r="A33" s="522" t="s">
        <v>384</v>
      </c>
      <c r="B33" s="248"/>
      <c r="C33" s="514" t="str">
        <f>IF($F$29="Amazon",vlookup(A33,'Supplement Master List'!$A$2:$Q$1032,10,false),IF($F$29="iHerb",vlookup(A33,'Supplement Master List'!$A$2:$Q$1032,14,false)," "))</f>
        <v>#REF!</v>
      </c>
      <c r="D33" s="515" t="s">
        <v>208</v>
      </c>
      <c r="E33" s="516" t="str">
        <f>IF($F$29="Amazon",vlookup(A33,'Supplement Master List'!$A$2:$Q$1032,11,false),IF($F$29="iHerb",vlookup(A33,'Supplement Master List'!$A$2:$Q$1032,15,false)," "))</f>
        <v>#REF!</v>
      </c>
      <c r="F33" s="517" t="str">
        <f>if($F$29="Amazon",vlookup(A33,'Supplement Master List'!$A$2:$Q$1032,12,false),if($F$29="iHerb",vlookup(A33,'Supplement Master List'!$A$2:$Q$1032,13,false)))</f>
        <v>#REF!</v>
      </c>
      <c r="G33" s="248"/>
      <c r="H33" s="523" t="str">
        <f>sum(#REF!)*'Balanced Recipe Shopping List'!$J$5</f>
        <v>#REF!</v>
      </c>
      <c r="I33" s="524" t="str">
        <f>vlookup(A33,'Supplement Master List'!$A$2:$Q$1032,8,false)</f>
        <v>#N/A</v>
      </c>
      <c r="J33" s="525" t="str">
        <f>sum(C33/(vlookup(A33,'Supplement Master List'!$A$2:$Q$1032,16,false)))*H33</f>
        <v>#REF!</v>
      </c>
    </row>
    <row r="34">
      <c r="A34" s="526" t="s">
        <v>171</v>
      </c>
      <c r="B34" s="257"/>
      <c r="C34" s="527" t="str">
        <f>IF($F$29="Amazon",vlookup(A34,'Supplement Master List'!$A$2:$Q$1032,10,false),IF($F$29="iHerb",vlookup(A34,'Supplement Master List'!$A$2:$Q$1032,14,false)," "))</f>
        <v>#REF!</v>
      </c>
      <c r="D34" s="528" t="s">
        <v>208</v>
      </c>
      <c r="E34" s="529" t="str">
        <f>IF($F$29="Amazon",vlookup(A34,'Supplement Master List'!$A$2:$Q$1032,11,false),IF($F$29="iHerb",vlookup(A34,'Supplement Master List'!$A$2:$Q$1032,15,false)," "))</f>
        <v>#REF!</v>
      </c>
      <c r="F34" s="530" t="str">
        <f>if($F$29="Amazon",vlookup(A34,'Supplement Master List'!$A$2:$Q$1032,12,false),if($F$29="iHerb",vlookup(A34,'Supplement Master List'!$A$2:$Q$1032,13,false)))</f>
        <v>#REF!</v>
      </c>
      <c r="G34" s="257"/>
      <c r="H34" s="511" t="str">
        <f>sum(#REF!)*'Balanced Recipe Shopping List'!$J$5</f>
        <v>#REF!</v>
      </c>
      <c r="I34" s="531" t="str">
        <f>vlookup(A34,'Supplement Master List'!$A$2:$Q$1032,8,false)</f>
        <v>#N/A</v>
      </c>
      <c r="J34" s="532" t="str">
        <f>sum(C34/(vlookup(A34,'Supplement Master List'!$A$2:$Q$1032,16,false)))*H34</f>
        <v>#REF!</v>
      </c>
    </row>
    <row r="35">
      <c r="A35" s="533" t="s">
        <v>20</v>
      </c>
      <c r="B35" s="427"/>
      <c r="C35" s="534" t="str">
        <f>IF($F$29="Amazon",vlookup(A35,'Supplement Master List'!$A$2:$Q$1032,10,false),IF($F$29="iHerb",vlookup(A35,'Supplement Master List'!$A$2:$Q$1032,14,false)," "))</f>
        <v>#REF!</v>
      </c>
      <c r="D35" s="535" t="s">
        <v>208</v>
      </c>
      <c r="E35" s="536" t="str">
        <f>IF($F$29="Amazon",vlookup(A35,'Supplement Master List'!$A$2:$Q$1032,11,false),IF($F$29="iHerb",vlookup(A35,'Supplement Master List'!$A$2:$Q$1032,15,false)," "))</f>
        <v>#REF!</v>
      </c>
      <c r="F35" s="537" t="str">
        <f>if($F$29="Amazon",vlookup(A35,'Supplement Master List'!$A$2:$Q$1032,12,false),if($F$29="iHerb",vlookup(A35,'Supplement Master List'!$A$2:$Q$1032,13,false)))</f>
        <v>#REF!</v>
      </c>
      <c r="G35" s="427"/>
      <c r="H35" s="523" t="str">
        <f>sum(#REF!)*'Balanced Recipe Shopping List'!$J$5</f>
        <v>#REF!</v>
      </c>
      <c r="I35" s="538" t="str">
        <f>vlookup(A35,'Supplement Master List'!$A$2:$Q$1032,8,false)</f>
        <v>DROP</v>
      </c>
      <c r="J35" s="433" t="str">
        <f>sum(C35/(vlookup(A35,'Supplement Master List'!$A$2:$Q$1032,16,false)))*H35</f>
        <v>#REF!</v>
      </c>
    </row>
    <row r="36">
      <c r="A36" s="539" t="s">
        <v>51</v>
      </c>
      <c r="B36" s="257"/>
      <c r="C36" s="527" t="str">
        <f>IF($F$29="Amazon",vlookup(A36,'Supplement Master List'!$A$2:$Q$1032,10,false),IF($F$29="iHerb",vlookup(A36,'Supplement Master List'!$A$2:$Q$1032,14,false)," "))</f>
        <v>#REF!</v>
      </c>
      <c r="D36" s="528" t="s">
        <v>208</v>
      </c>
      <c r="E36" s="529" t="str">
        <f>IF($F$29="Amazon",vlookup(A36,'Supplement Master List'!$A$2:$Q$1032,11,false),IF($F$29="iHerb",vlookup(A36,'Supplement Master List'!$A$2:$Q$1032,15,false)," "))</f>
        <v>#REF!</v>
      </c>
      <c r="F36" s="530" t="str">
        <f>if($F$29="Amazon",vlookup(A36,'Supplement Master List'!$A$2:$Q$1032,12,false),if($F$29="iHerb",vlookup(A36,'Supplement Master List'!$A$2:$Q$1032,13,false)))</f>
        <v>#REF!</v>
      </c>
      <c r="G36" s="257"/>
      <c r="H36" s="511" t="str">
        <f>sum(#REF!)*'Balanced Recipe Shopping List'!$J$5</f>
        <v>#REF!</v>
      </c>
      <c r="I36" s="531" t="str">
        <f>vlookup(A36,'Supplement Master List'!$A$2:$Q$1032,8,false)</f>
        <v>DROP</v>
      </c>
      <c r="J36" s="532" t="str">
        <f>sum(C36/(vlookup(A36,'Supplement Master List'!$A$2:$Q$1032,16,false)))*H36</f>
        <v>#REF!</v>
      </c>
    </row>
    <row r="37">
      <c r="A37" s="513" t="s">
        <v>46</v>
      </c>
      <c r="B37" s="248"/>
      <c r="C37" s="514" t="str">
        <f>IF($F$29="Amazon",vlookup(A37,'Supplement Master List'!$A$2:$Q$1032,10,false),IF($F$29="iHerb",vlookup(A37,'Supplement Master List'!$A$2:$Q$1032,14,false)," "))</f>
        <v>#REF!</v>
      </c>
      <c r="D37" s="515" t="s">
        <v>208</v>
      </c>
      <c r="E37" s="516" t="str">
        <f>IF($F$29="Amazon",vlookup(A37,'Supplement Master List'!$A$2:$Q$1032,11,false),IF($F$29="iHerb",vlookup(A37,'Supplement Master List'!$A$2:$Q$1032,15,false)," "))</f>
        <v>#REF!</v>
      </c>
      <c r="F37" s="517" t="str">
        <f>if($F$29="Amazon",vlookup(A37,'Supplement Master List'!$A$2:$Q$1032,12,false),if($F$29="iHerb",vlookup(A37,'Supplement Master List'!$A$2:$Q$1032,13,false)))</f>
        <v>#REF!</v>
      </c>
      <c r="G37" s="248"/>
      <c r="H37" s="523" t="str">
        <f>sum(#REF!)*'Balanced Recipe Shopping List'!$J$5</f>
        <v>#REF!</v>
      </c>
      <c r="I37" s="524" t="str">
        <f>vlookup(A37,'Supplement Master List'!$A$2:$Q$1032,8,false)</f>
        <v>DROP</v>
      </c>
      <c r="J37" s="525" t="str">
        <f>sum(C37/(vlookup(A37,'Supplement Master List'!$A$2:$Q$1032,16,false)))*H37</f>
        <v>#REF!</v>
      </c>
    </row>
    <row r="38">
      <c r="A38" s="539" t="s">
        <v>57</v>
      </c>
      <c r="B38" s="257"/>
      <c r="C38" s="527" t="str">
        <f>IF($F$29="Amazon",vlookup(A38,'Supplement Master List'!$A$2:$Q$1032,10,false),IF($F$29="iHerb",vlookup(A38,'Supplement Master List'!$A$2:$Q$1032,14,false)," "))</f>
        <v>#REF!</v>
      </c>
      <c r="D38" s="528" t="s">
        <v>208</v>
      </c>
      <c r="E38" s="529" t="str">
        <f>IF($F$29="Amazon",vlookup(A38,'Supplement Master List'!$A$2:$Q$1032,11,false),IF($F$29="iHerb",vlookup(A38,'Supplement Master List'!$A$2:$Q$1032,15,false)," "))</f>
        <v>#REF!</v>
      </c>
      <c r="F38" s="530" t="str">
        <f>if($F$29="Amazon",vlookup(A38,'Supplement Master List'!$A$2:$Q$1032,12,false),if($F$29="iHerb",vlookup(A38,'Supplement Master List'!$A$2:$Q$1032,13,false)))</f>
        <v>#REF!</v>
      </c>
      <c r="G38" s="257"/>
      <c r="H38" s="511" t="str">
        <f>sum(#REF!)*'Balanced Recipe Shopping List'!$J$5</f>
        <v>#REF!</v>
      </c>
      <c r="I38" s="531" t="str">
        <f>vlookup(A38,'Supplement Master List'!$A$2:$Q$1032,8,false)</f>
        <v>DROP</v>
      </c>
      <c r="J38" s="532" t="str">
        <f>sum(C38/(vlookup(A38,'Supplement Master List'!$A$2:$Q$1032,16,false)))*H38</f>
        <v>#REF!</v>
      </c>
    </row>
    <row r="39">
      <c r="A39" s="540"/>
      <c r="B39" s="540"/>
      <c r="C39" s="541"/>
      <c r="D39" s="540"/>
      <c r="E39" s="540"/>
      <c r="G39" s="542"/>
      <c r="H39" s="543" t="str">
        <f>sum(J30:J38)</f>
        <v>#REF!</v>
      </c>
      <c r="I39" s="413"/>
      <c r="J39" s="414"/>
    </row>
    <row r="40" ht="15.75" customHeight="1">
      <c r="A40" s="540"/>
      <c r="B40" s="540"/>
      <c r="C40" s="541"/>
      <c r="D40" s="540"/>
      <c r="E40" s="540"/>
      <c r="G40" s="544"/>
      <c r="H40" s="544"/>
      <c r="I40" s="544"/>
      <c r="J40" s="544"/>
    </row>
    <row r="41">
      <c r="A41" s="203"/>
      <c r="B41" s="203"/>
      <c r="C41" s="410"/>
      <c r="D41" s="203"/>
      <c r="E41" s="203"/>
      <c r="G41" s="411"/>
      <c r="H41" s="412" t="s">
        <v>385</v>
      </c>
      <c r="I41" s="413"/>
      <c r="J41" s="414"/>
    </row>
    <row r="42">
      <c r="A42" s="415" t="s">
        <v>386</v>
      </c>
      <c r="B42" s="234"/>
      <c r="C42" s="416" t="s">
        <v>207</v>
      </c>
      <c r="D42" s="230" t="s">
        <v>208</v>
      </c>
      <c r="E42" s="417" t="s">
        <v>382</v>
      </c>
      <c r="F42" s="231" t="str">
        <f>F29</f>
        <v>#REF!</v>
      </c>
      <c r="G42" s="232"/>
      <c r="H42" s="418" t="str">
        <f>H29</f>
        <v>#REF!</v>
      </c>
      <c r="I42" s="232"/>
      <c r="J42" s="234"/>
    </row>
    <row r="43">
      <c r="A43" s="506" t="s">
        <v>387</v>
      </c>
      <c r="B43" s="239"/>
      <c r="C43" s="507" t="str">
        <f>IF($F$29="Amazon",vlookup(A43,'Supplement Master List'!$A$2:$Q$1032,10,false),IF($F$29="iHerb",vlookup(A43,'Supplement Master List'!$A$2:$Q$1032,14,false)," "))</f>
        <v>#REF!</v>
      </c>
      <c r="D43" s="508" t="s">
        <v>208</v>
      </c>
      <c r="E43" s="509" t="str">
        <f>IF($F$29="Amazon",vlookup(A43,'Supplement Master List'!$A$2:$Q$1032,11,false),IF($F$29="iHerb",vlookup(A43,'Supplement Master List'!$A$2:$Q$1032,15,false)," "))</f>
        <v>#REF!</v>
      </c>
      <c r="F43" s="510" t="str">
        <f>if($F$29="Amazon",vlookup(A43,'Supplement Master List'!$A$2:$Q$1032,12,false),if($F$29="iHerb",vlookup(A43,'Supplement Master List'!$A$2:$Q$1032,13,false)))</f>
        <v>#REF!</v>
      </c>
      <c r="G43" s="239"/>
      <c r="H43" s="511" t="str">
        <f>sum(#REF!)*'Balanced Recipe Shopping List'!$J$5</f>
        <v>#REF!</v>
      </c>
      <c r="I43" s="512" t="str">
        <f>vlookup(A43,'Supplement Master List'!$A$2:$Q$1032,8,false)</f>
        <v>#N/A</v>
      </c>
      <c r="J43" s="425" t="str">
        <f>sum(C43/(vlookup(A43,'Supplement Master List'!$A$2:$Q$1032,16,false)))*H43</f>
        <v>#REF!</v>
      </c>
    </row>
    <row r="44">
      <c r="A44" s="522" t="s">
        <v>184</v>
      </c>
      <c r="B44" s="248"/>
      <c r="C44" s="514" t="str">
        <f>IF($F$29="Amazon",vlookup(A44,'Supplement Master List'!$A$2:$Q$1032,10,false),IF($F$29="iHerb",vlookup(A44,'Supplement Master List'!$A$2:$Q$1032,14,false)," "))</f>
        <v>#REF!</v>
      </c>
      <c r="D44" s="515" t="s">
        <v>208</v>
      </c>
      <c r="E44" s="516" t="str">
        <f>IF($F$29="Amazon",vlookup(A44,'Supplement Master List'!$A$2:$Q$1032,11,false),IF($F$29="iHerb",vlookup(A44,'Supplement Master List'!$A$2:$Q$1032,15,false)," "))</f>
        <v>#REF!</v>
      </c>
      <c r="F44" s="517" t="str">
        <f>if($F$29="Amazon",vlookup(A44,'Supplement Master List'!$A$2:$Q$1032,12,false),if($F$29="iHerb",vlookup(A44,'Supplement Master List'!$A$2:$Q$1032,13,false)))</f>
        <v>#REF!</v>
      </c>
      <c r="G44" s="248"/>
      <c r="H44" s="523" t="str">
        <f>sum(#REF!)*'Balanced Recipe Shopping List'!$J$5</f>
        <v>#REF!</v>
      </c>
      <c r="I44" s="524" t="str">
        <f>vlookup(A44,'Supplement Master List'!$A$2:$Q$1032,8,false)</f>
        <v>#N/A</v>
      </c>
      <c r="J44" s="525" t="str">
        <f>sum(C44/(vlookup(A44,'Supplement Master List'!$A$2:$Q$1032,16,false)))*H44</f>
        <v>#REF!</v>
      </c>
    </row>
    <row r="45">
      <c r="A45" s="526" t="s">
        <v>388</v>
      </c>
      <c r="B45" s="257"/>
      <c r="C45" s="527" t="str">
        <f>IF($F$29="Amazon",vlookup(A45,'Supplement Master List'!$A$2:$Q$1032,10,false),IF($F$29="iHerb",vlookup(A45,'Supplement Master List'!$A$2:$Q$1032,14,false)," "))</f>
        <v>#REF!</v>
      </c>
      <c r="D45" s="528" t="s">
        <v>208</v>
      </c>
      <c r="E45" s="529" t="str">
        <f>IF($F$29="Amazon",vlookup(A45,'Supplement Master List'!$A$2:$Q$1032,11,false),IF($F$29="iHerb",vlookup(A45,'Supplement Master List'!$A$2:$Q$1032,15,false)," "))</f>
        <v>#REF!</v>
      </c>
      <c r="F45" s="530" t="str">
        <f>if($F$29="Amazon",vlookup(A45,'Supplement Master List'!$A$2:$Q$1032,12,false),if($F$29="iHerb",vlookup(A45,'Supplement Master List'!$A$2:$Q$1032,13,false)))</f>
        <v>#REF!</v>
      </c>
      <c r="G45" s="257"/>
      <c r="H45" s="511" t="str">
        <f>sum(#REF!)*'Balanced Recipe Shopping List'!$J$5</f>
        <v>#REF!</v>
      </c>
      <c r="I45" s="531" t="str">
        <f>vlookup(A45,'Supplement Master List'!$A$2:$Q$1032,8,false)</f>
        <v>#N/A</v>
      </c>
      <c r="J45" s="532" t="str">
        <f>sum(C45/(vlookup(A45,'Supplement Master List'!$A$2:$Q$1032,16,false)))*H45</f>
        <v>#REF!</v>
      </c>
    </row>
    <row r="46">
      <c r="A46" s="513" t="s">
        <v>389</v>
      </c>
      <c r="B46" s="248"/>
      <c r="C46" s="514" t="str">
        <f>IF($F$29="Amazon",vlookup(A46,'Supplement Master List'!$A$2:$Q$1032,10,false),IF($F$29="iHerb",vlookup(A46,'Supplement Master List'!$A$2:$Q$1032,14,false)," "))</f>
        <v>#REF!</v>
      </c>
      <c r="D46" s="515" t="s">
        <v>208</v>
      </c>
      <c r="E46" s="516" t="str">
        <f>IF($F$29="Amazon",vlookup(A46,'Supplement Master List'!$A$2:$Q$1032,11,false),IF($F$29="iHerb",vlookup(A46,'Supplement Master List'!$A$2:$Q$1032,15,false)," "))</f>
        <v>#REF!</v>
      </c>
      <c r="F46" s="517" t="str">
        <f>if($F$29="Amazon",vlookup(A46,'Supplement Master List'!$A$2:$Q$1032,12,false),if($F$29="iHerb",vlookup(A46,'Supplement Master List'!$A$2:$Q$1032,13,false)))</f>
        <v>#REF!</v>
      </c>
      <c r="G46" s="248"/>
      <c r="H46" s="523" t="str">
        <f>sum(#REF!)*'Balanced Recipe Shopping List'!$J$5</f>
        <v>#REF!</v>
      </c>
      <c r="I46" s="524" t="str">
        <f>vlookup(A46,'Supplement Master List'!$A$2:$Q$1032,8,false)</f>
        <v>#N/A</v>
      </c>
      <c r="J46" s="525" t="str">
        <f>sum(C46/(vlookup(A46,'Supplement Master List'!$A$2:$Q$1032,16,false)))*H46</f>
        <v>#REF!</v>
      </c>
    </row>
    <row r="47">
      <c r="A47" s="539" t="s">
        <v>390</v>
      </c>
      <c r="B47" s="257"/>
      <c r="C47" s="527" t="str">
        <f>IF($F$29="Amazon",vlookup(A47,'Supplement Master List'!$A$2:$Q$1032,10,false),IF($F$29="iHerb",vlookup(A47,'Supplement Master List'!$A$2:$Q$1032,14,false)," "))</f>
        <v>#REF!</v>
      </c>
      <c r="D47" s="528" t="s">
        <v>208</v>
      </c>
      <c r="E47" s="529" t="str">
        <f>IF($F$29="Amazon",vlookup(A47,'Supplement Master List'!$A$2:$Q$1032,11,false),IF($F$29="iHerb",vlookup(A47,'Supplement Master List'!$A$2:$Q$1032,15,false)," "))</f>
        <v>#REF!</v>
      </c>
      <c r="F47" s="530" t="str">
        <f>if($F$29="Amazon",vlookup(A47,'Supplement Master List'!$A$2:$Q$1032,12,false),if($F$29="iHerb",vlookup(A47,'Supplement Master List'!$A$2:$Q$1032,13,false)))</f>
        <v>#REF!</v>
      </c>
      <c r="G47" s="257"/>
      <c r="H47" s="511" t="str">
        <f>sum(#REF!)*'Balanced Recipe Shopping List'!$J$5</f>
        <v>#REF!</v>
      </c>
      <c r="I47" s="531" t="str">
        <f>vlookup(A47,'Supplement Master List'!$A$2:$Q$1032,8,false)</f>
        <v>#N/A</v>
      </c>
      <c r="J47" s="532" t="str">
        <f>sum(C47/(vlookup(A47,'Supplement Master List'!$A$2:$Q$1032,16,false)))*H47</f>
        <v>#REF!</v>
      </c>
    </row>
    <row r="48">
      <c r="A48" s="513" t="s">
        <v>391</v>
      </c>
      <c r="B48" s="248"/>
      <c r="C48" s="514" t="str">
        <f>IF($F$29="Amazon",vlookup(A48,'Supplement Master List'!$A$2:$Q$1032,10,false),IF($F$29="iHerb",vlookup(A48,'Supplement Master List'!$A$2:$Q$1032,14,false)," "))</f>
        <v>#REF!</v>
      </c>
      <c r="D48" s="515" t="s">
        <v>208</v>
      </c>
      <c r="E48" s="516" t="str">
        <f>IF($F$29="Amazon",vlookup(A48,'Supplement Master List'!$A$2:$Q$1032,11,false),IF($F$29="iHerb",vlookup(A48,'Supplement Master List'!$A$2:$Q$1032,15,false)," "))</f>
        <v>#REF!</v>
      </c>
      <c r="F48" s="517" t="str">
        <f>if($F$29="Amazon",vlookup(A48,'Supplement Master List'!$A$2:$Q$1032,12,false),if($F$29="iHerb",vlookup(A48,'Supplement Master List'!$A$2:$Q$1032,13,false)))</f>
        <v>#REF!</v>
      </c>
      <c r="G48" s="248"/>
      <c r="H48" s="523" t="str">
        <f>sum(#REF!)*'Balanced Recipe Shopping List'!$J$5</f>
        <v>#REF!</v>
      </c>
      <c r="I48" s="524" t="str">
        <f>vlookup(A48,'Supplement Master List'!$A$2:$Q$1032,8,false)</f>
        <v>#N/A</v>
      </c>
      <c r="J48" s="525" t="str">
        <f>sum(C48/(vlookup(A48,'Supplement Master List'!$A$2:$Q$1032,16,false)))*H48</f>
        <v>#REF!</v>
      </c>
    </row>
    <row r="49">
      <c r="A49" s="526" t="s">
        <v>187</v>
      </c>
      <c r="B49" s="257"/>
      <c r="C49" s="527" t="str">
        <f>IF($F$29="Amazon",vlookup(A49,'Supplement Master List'!$A$2:$Q$1032,10,false),IF($F$29="iHerb",vlookup(A49,'Supplement Master List'!$A$2:$Q$1032,14,false)," "))</f>
        <v>#REF!</v>
      </c>
      <c r="D49" s="528" t="s">
        <v>208</v>
      </c>
      <c r="E49" s="529" t="str">
        <f>IF($F$29="Amazon",vlookup(A49,'Supplement Master List'!$A$2:$Q$1032,11,false),IF($F$29="iHerb",vlookup(A49,'Supplement Master List'!$A$2:$Q$1032,15,false)," "))</f>
        <v>#REF!</v>
      </c>
      <c r="F49" s="530" t="str">
        <f>if($F$29="Amazon",vlookup(A49,'Supplement Master List'!$A$2:$Q$1032,12,false),if($F$29="iHerb",vlookup(A49,'Supplement Master List'!$A$2:$Q$1032,13,false)))</f>
        <v>#REF!</v>
      </c>
      <c r="G49" s="257"/>
      <c r="H49" s="511" t="str">
        <f>sum(#REF!)*'Balanced Recipe Shopping List'!$J$5</f>
        <v>#REF!</v>
      </c>
      <c r="I49" s="531" t="str">
        <f>vlookup(A49,'Supplement Master List'!$A$2:$Q$1032,8,false)</f>
        <v>#N/A</v>
      </c>
      <c r="J49" s="532" t="str">
        <f>sum(C49/(vlookup(A49,'Supplement Master List'!$A$2:$Q$1032,16,false)))*H49</f>
        <v>#REF!</v>
      </c>
    </row>
    <row r="50">
      <c r="A50" s="522" t="s">
        <v>183</v>
      </c>
      <c r="B50" s="248"/>
      <c r="C50" s="514" t="str">
        <f>IF($F$29="Amazon",vlookup(A50,'Supplement Master List'!$A$2:$Q$1032,10,false),IF($F$29="iHerb",vlookup(A50,'Supplement Master List'!$A$2:$Q$1032,14,false)," "))</f>
        <v>#REF!</v>
      </c>
      <c r="D50" s="515" t="s">
        <v>208</v>
      </c>
      <c r="E50" s="516" t="str">
        <f>IF($F$29="Amazon",vlookup(A50,'Supplement Master List'!$A$2:$Q$1032,11,false),IF($F$29="iHerb",vlookup(A50,'Supplement Master List'!$A$2:$Q$1032,15,false)," "))</f>
        <v>#REF!</v>
      </c>
      <c r="F50" s="517" t="str">
        <f>if($F$29="Amazon",vlookup(A50,'Supplement Master List'!$A$2:$Q$1032,12,false),if($F$29="iHerb",vlookup(A50,'Supplement Master List'!$A$2:$Q$1032,13,false)))</f>
        <v>#REF!</v>
      </c>
      <c r="G50" s="248"/>
      <c r="H50" s="523" t="str">
        <f>sum(#REF!)*'Balanced Recipe Shopping List'!$J$5</f>
        <v>#REF!</v>
      </c>
      <c r="I50" s="524" t="str">
        <f>vlookup(A50,'Supplement Master List'!$A$2:$Q$1032,8,false)</f>
        <v>#N/A</v>
      </c>
      <c r="J50" s="525" t="str">
        <f>sum(C50/(vlookup(A50,'Supplement Master List'!$A$2:$Q$1032,16,false)))*H50</f>
        <v>#REF!</v>
      </c>
    </row>
    <row r="51">
      <c r="A51" s="526" t="s">
        <v>192</v>
      </c>
      <c r="B51" s="257"/>
      <c r="C51" s="527" t="str">
        <f>IF($F$29="Amazon",vlookup(A51,'Supplement Master List'!$A$2:$Q$1032,10,false),IF($F$29="iHerb",vlookup(A51,'Supplement Master List'!$A$2:$Q$1032,14,false)," "))</f>
        <v>#REF!</v>
      </c>
      <c r="D51" s="528" t="s">
        <v>208</v>
      </c>
      <c r="E51" s="529" t="str">
        <f>IF($F$29="Amazon",vlookup(A51,'Supplement Master List'!$A$2:$Q$1032,11,false),IF($F$29="iHerb",vlookup(A51,'Supplement Master List'!$A$2:$Q$1032,15,false)," "))</f>
        <v>#REF!</v>
      </c>
      <c r="F51" s="530" t="str">
        <f>if($F$29="Amazon",vlookup(A51,'Supplement Master List'!$A$2:$Q$1032,12,false),if($F$29="iHerb",vlookup(A51,'Supplement Master List'!$A$2:$Q$1032,13,false)))</f>
        <v>#REF!</v>
      </c>
      <c r="G51" s="257"/>
      <c r="H51" s="545" t="str">
        <f>sum(#REF!)*'Balanced Recipe Shopping List'!$J$5</f>
        <v>#REF!</v>
      </c>
      <c r="I51" s="546" t="str">
        <f>vlookup(A51,'Supplement Master List'!$A$2:$Q$1032,8,false)</f>
        <v>#N/A</v>
      </c>
      <c r="J51" s="547" t="str">
        <f>sum(C51/(vlookup(A51,'Supplement Master List'!$A$2:$Q$1032,16,false)))*H51</f>
        <v>#REF!</v>
      </c>
    </row>
    <row r="52">
      <c r="A52" s="548" t="s">
        <v>162</v>
      </c>
      <c r="B52" s="427"/>
      <c r="C52" s="514" t="str">
        <f>IF($F$29="Amazon",vlookup(A52,'Supplement Master List'!$A$2:$Q$1032,10,false),IF($F$29="iHerb",vlookup(A52,'Supplement Master List'!$A$2:$Q$1032,14,false)," "))</f>
        <v>#REF!</v>
      </c>
      <c r="D52" s="515" t="s">
        <v>208</v>
      </c>
      <c r="E52" s="516" t="str">
        <f>IF($F$29="Amazon",vlookup(A52,'Supplement Master List'!$A$2:$Q$1032,11,false),IF($F$29="iHerb",vlookup(A52,'Supplement Master List'!$A$2:$Q$1032,15,false)," "))</f>
        <v>#REF!</v>
      </c>
      <c r="F52" s="517" t="str">
        <f>if($F$29="Amazon",vlookup(A52,'Supplement Master List'!$A$2:$Q$1032,12,false),if($F$29="iHerb",vlookup(A52,'Supplement Master List'!$A$2:$Q$1032,13,false)))</f>
        <v>#REF!</v>
      </c>
      <c r="G52" s="248"/>
      <c r="H52" s="549" t="str">
        <f>sum(#REF!)*'Balanced Recipe Shopping List'!$J$5</f>
        <v>#REF!</v>
      </c>
      <c r="I52" s="519" t="str">
        <f>vlookup(A52,'Supplement Master List'!$A$2:$Q$1032,8,false)</f>
        <v>#N/A</v>
      </c>
      <c r="J52" s="520" t="str">
        <f>sum(C52/(vlookup(A52,'Supplement Master List'!$A$2:$Q$1032,16,false)))*H52</f>
        <v>#REF!</v>
      </c>
    </row>
    <row r="53">
      <c r="A53" s="526" t="s">
        <v>392</v>
      </c>
      <c r="B53" s="257"/>
      <c r="C53" s="527" t="str">
        <f>IF($F$29="Amazon",vlookup(A53,'Supplement Master List'!$A$2:$Q$1032,10,false),IF($F$29="iHerb",vlookup(A53,'Supplement Master List'!$A$2:$Q$1032,14,false)," "))</f>
        <v>#REF!</v>
      </c>
      <c r="D53" s="528" t="s">
        <v>208</v>
      </c>
      <c r="E53" s="529" t="str">
        <f>IF($F$29="Amazon",vlookup(A53,'Supplement Master List'!$A$2:$Q$1032,11,false),IF($F$29="iHerb",vlookup(A53,'Supplement Master List'!$A$2:$Q$1032,15,false)," "))</f>
        <v>#REF!</v>
      </c>
      <c r="F53" s="530" t="str">
        <f>if($F$29="Amazon",vlookup(A53,'Supplement Master List'!$A$2:$Q$1032,12,false),if($F$29="iHerb",vlookup(A53,'Supplement Master List'!$A$2:$Q$1032,13,false)))</f>
        <v>#REF!</v>
      </c>
      <c r="G53" s="257"/>
      <c r="H53" s="550" t="str">
        <f>sum(#REF!)*'Balanced Recipe Shopping List'!$J$5</f>
        <v>#REF!</v>
      </c>
      <c r="I53" s="546" t="str">
        <f>vlookup(A53,'Supplement Master List'!$A$2:$Q$1032,8,false)</f>
        <v>#N/A</v>
      </c>
      <c r="J53" s="547" t="str">
        <f>sum(C53/(vlookup(A53,'Supplement Master List'!$A$2:$Q$1032,16,false)))*H53</f>
        <v>#REF!</v>
      </c>
    </row>
    <row r="54">
      <c r="A54" s="540"/>
      <c r="B54" s="540"/>
      <c r="C54" s="541"/>
      <c r="D54" s="540"/>
      <c r="E54" s="540"/>
      <c r="G54" s="542"/>
      <c r="H54" s="551" t="str">
        <f>sum(J43:J53)</f>
        <v>#REF!</v>
      </c>
      <c r="J54" s="477"/>
    </row>
    <row r="55" ht="15.75" customHeight="1">
      <c r="A55" s="540"/>
      <c r="B55" s="540"/>
      <c r="C55" s="541"/>
      <c r="D55" s="540"/>
      <c r="E55" s="540"/>
      <c r="G55" s="544"/>
      <c r="H55" s="544"/>
      <c r="I55" s="544"/>
      <c r="J55" s="544"/>
    </row>
    <row r="56" ht="15.75" customHeight="1">
      <c r="A56" s="552" t="s">
        <v>393</v>
      </c>
      <c r="B56" s="553"/>
      <c r="C56" s="553"/>
      <c r="D56" s="553"/>
      <c r="E56" s="553"/>
      <c r="F56" s="553"/>
      <c r="G56" s="553"/>
      <c r="H56" s="553"/>
      <c r="I56" s="553"/>
      <c r="J56" s="554"/>
    </row>
    <row r="57" ht="15.75" customHeight="1">
      <c r="A57" s="555" t="str">
        <f>IF('Unbalanced PMR Recipe Data'!$D$7="dog","Step 1: Prepare Vegetables",IF('Unbalanced PMR Recipe Data'!$D$7="cat","Step 1: Portion Individual Supplments",""))</f>
        <v>Step 1: Prepare Vegetables</v>
      </c>
      <c r="B57" s="556"/>
      <c r="C57" s="556"/>
      <c r="D57" s="556"/>
      <c r="E57" s="556"/>
      <c r="F57" s="556"/>
      <c r="G57" s="556"/>
      <c r="H57" s="556"/>
      <c r="I57" s="557"/>
      <c r="J57" s="558"/>
    </row>
    <row r="58">
      <c r="A58" s="559" t="str">
        <f>IF('Unbalanced PMR Recipe Data'!$D$7="dog",CONCATENATE("Prepare the total amount of vegetables needed for ",'Balanced Recipe Shopping List'!$J$5," days of each recipe. Once the vegetables are prepared place each recipe mixture in their own separate mixing bowl."),IF('Unbalanced PMR Recipe Data'!$D$7="cat",CONCATENATE("Use the supplement list above to portion out the individual supplements needed for ",'Balanced Recipe Shopping List'!$J$5," days of home prepared food. It is important to follow the unit of measurement listed for each supplement. Use a kitchen scale that measures grams to the tenth of a decimal for any supplements listed in grams."),""))</f>
        <v>Prepare the total amount of vegetables needed for 30 days of each recipe. Once the vegetables are prepared place each recipe mixture in their own separate mixing bowl.</v>
      </c>
      <c r="B58" s="177"/>
      <c r="C58" s="177"/>
      <c r="D58" s="177"/>
      <c r="E58" s="177"/>
      <c r="F58" s="177"/>
      <c r="G58" s="177"/>
      <c r="H58" s="177"/>
      <c r="I58" s="177"/>
      <c r="J58" s="560"/>
    </row>
    <row r="59" ht="15.75" customHeight="1">
      <c r="A59" s="561" t="str">
        <f>IF('Unbalanced PMR Recipe Data'!$D$7="dog","Step 2: Portion Individual Supplments",IF('Unbalanced PMR Recipe Data'!$D$7="cat","Step 2: Dissolve Supplements In Liquid",""))</f>
        <v>Step 2: Portion Individual Supplments</v>
      </c>
      <c r="B59" s="562"/>
      <c r="C59" s="562"/>
      <c r="D59" s="562"/>
      <c r="E59" s="562"/>
      <c r="F59" s="562"/>
      <c r="G59" s="562"/>
      <c r="H59" s="562"/>
      <c r="I59" s="563"/>
      <c r="J59" s="564"/>
    </row>
    <row r="60">
      <c r="A60" s="565" t="str">
        <f>IF('Unbalanced PMR Recipe Data'!$D$7="dog",CONCATENATE("Use the charts above to portion out the individual supplements needed for ",'Balanced Recipe Shopping List'!$J$5," days of home prepared food. It is important to follow the unit of measurement listed for each supplement. Use a kitchen scale that measures grams to the tenth of a decimal for any supplements listed in grams."),IF('Unbalanced PMR Recipe Data'!$D$7="cat","All of the supplements listed are dry and can be dissolved into water, bone broth, or coconut water. Be sure to thoroughly mix. This will be used to mix into the batch prepared food. Open the capsules and empty the dry supplement into the liquid of choice"&amp;". Compressed tablets will need time to dissolve in the liquid but can be crushed using a mortar and pestal or spice grinder.",""))</f>
        <v>Use the charts above to portion out the individual supplements needed for 30 days of home prepared food. It is important to follow the unit of measurement listed for each supplement. Use a kitchen scale that measures grams to the tenth of a decimal for any supplements listed in grams.</v>
      </c>
      <c r="B60" s="177"/>
      <c r="C60" s="177"/>
      <c r="D60" s="177"/>
      <c r="E60" s="177"/>
      <c r="F60" s="177"/>
      <c r="G60" s="177"/>
      <c r="H60" s="177"/>
      <c r="I60" s="177"/>
      <c r="J60" s="560"/>
    </row>
    <row r="61" ht="15.75" customHeight="1">
      <c r="A61" s="555" t="str">
        <f>IF('Unbalanced PMR Recipe Data'!$D$7="dog","Step 3: Dissolve Supplements In Liquid",IF('Unbalanced PMR Recipe Data'!$D$7="cat","Step 3: Mix Supplement Liquid Into Batch Prepared Food",""))</f>
        <v>Step 3: Dissolve Supplements In Liquid</v>
      </c>
      <c r="B61" s="556"/>
      <c r="C61" s="556"/>
      <c r="D61" s="556"/>
      <c r="E61" s="556"/>
      <c r="F61" s="556"/>
      <c r="G61" s="556"/>
      <c r="H61" s="556"/>
      <c r="I61" s="557"/>
      <c r="J61" s="558"/>
    </row>
    <row r="62">
      <c r="A62" s="559" t="str">
        <f>IF('Unbalanced PMR Recipe Data'!$D$7="dog","All of the supplements listed are dry and can be dissolved into water, bone broth, or coconut water. Be sure to thoroughly mix. This will be used to mix into the vegetables. Open the capsules and empty the dry supplement into the liquid of choice. Compres"&amp;"sed tablets will need time to dissolve in the liquid but can be crushed using a mortar and pestal or spice grinder.",IF('Unbalanced PMR Recipe Data'!$D$7="cat","First, thoroughly mix the dissolved supplements into the ground organs or eggs; and then thoroughly mix the organ/egg supplement slurry into the ground meat. Once the supplements are mixed into the food it can be portioned into individual feedings. The re"&amp;"maining liquid supplements listed in the recipe will need to be added to food at mealtime on a daily basis.",""))</f>
        <v>All of the supplements listed are dry and can be dissolved into water, bone broth, or coconut water. Be sure to thoroughly mix. This will be used to mix into the vegetables. Open the capsules and empty the dry supplement into the liquid of choice. Compressed tablets will need time to dissolve in the liquid but can be crushed using a mortar and pestal or spice grinder.</v>
      </c>
      <c r="B62" s="177"/>
      <c r="C62" s="177"/>
      <c r="D62" s="177"/>
      <c r="E62" s="177"/>
      <c r="F62" s="177"/>
      <c r="G62" s="177"/>
      <c r="H62" s="177"/>
      <c r="I62" s="177"/>
      <c r="J62" s="560"/>
    </row>
    <row r="63" ht="15.75" customHeight="1">
      <c r="A63" s="561" t="str">
        <f>IF('Unbalanced PMR Recipe Data'!$D$7="dog","Step 4: Mix Supplement Liquid Into Vegetables",IF('Unbalanced PMR Recipe Data'!$D$7="cat","",""))</f>
        <v>Step 4: Mix Supplement Liquid Into Vegetables</v>
      </c>
      <c r="B63" s="562"/>
      <c r="C63" s="562"/>
      <c r="D63" s="562"/>
      <c r="E63" s="562"/>
      <c r="F63" s="562"/>
      <c r="G63" s="562"/>
      <c r="H63" s="562"/>
      <c r="I63" s="563"/>
      <c r="J63" s="564"/>
    </row>
    <row r="64">
      <c r="A64" s="566" t="str">
        <f>IF('Unbalanced PMR Recipe Data'!$D$7="dog","Thoroughly mix the dissolved supplements into the prepared vegetables. Once the supplements are mixed into the vegetables, the complete mixture can be portioned into individual meals or mixed together with the meat ingredients of the recipe. The remaining"&amp;" liquid supplements listed in the recipe will need to be added to food at mealtime on a daily basis.",IF('Unbalanced PMR Recipe Data'!$D$7="cat","",""))</f>
        <v>Thoroughly mix the dissolved supplements into the prepared vegetables. Once the supplements are mixed into the vegetables, the complete mixture can be portioned into individual meals or mixed together with the meat ingredients of the recipe. The remaining liquid supplements listed in the recipe will need to be added to food at mealtime on a daily basis.</v>
      </c>
      <c r="B64" s="232"/>
      <c r="C64" s="232"/>
      <c r="D64" s="232"/>
      <c r="E64" s="232"/>
      <c r="F64" s="232"/>
      <c r="G64" s="232"/>
      <c r="H64" s="232"/>
      <c r="I64" s="232"/>
      <c r="J64" s="234"/>
    </row>
  </sheetData>
  <mergeCells count="74">
    <mergeCell ref="A33:B33"/>
    <mergeCell ref="A34:B34"/>
    <mergeCell ref="A35:B35"/>
    <mergeCell ref="A36:B36"/>
    <mergeCell ref="A37:B37"/>
    <mergeCell ref="A38:B38"/>
    <mergeCell ref="A42:B42"/>
    <mergeCell ref="A50:B50"/>
    <mergeCell ref="A51:B51"/>
    <mergeCell ref="A52:B52"/>
    <mergeCell ref="A53:B53"/>
    <mergeCell ref="A43:B43"/>
    <mergeCell ref="A44:B44"/>
    <mergeCell ref="A45:B45"/>
    <mergeCell ref="A46:B46"/>
    <mergeCell ref="A47:B47"/>
    <mergeCell ref="A48:B48"/>
    <mergeCell ref="A49:B49"/>
    <mergeCell ref="F42:G42"/>
    <mergeCell ref="H42:J42"/>
    <mergeCell ref="F43:G43"/>
    <mergeCell ref="F44:G44"/>
    <mergeCell ref="F45:G45"/>
    <mergeCell ref="F46:G46"/>
    <mergeCell ref="F47:G47"/>
    <mergeCell ref="F48:G48"/>
    <mergeCell ref="F49:G49"/>
    <mergeCell ref="F50:G50"/>
    <mergeCell ref="F51:G51"/>
    <mergeCell ref="F52:G52"/>
    <mergeCell ref="F53:G53"/>
    <mergeCell ref="H54:J54"/>
    <mergeCell ref="A1:J1"/>
    <mergeCell ref="H4:J4"/>
    <mergeCell ref="F11:J11"/>
    <mergeCell ref="F12:J12"/>
    <mergeCell ref="A13:B13"/>
    <mergeCell ref="F13:G13"/>
    <mergeCell ref="H13:J13"/>
    <mergeCell ref="A14:B14"/>
    <mergeCell ref="A15:B15"/>
    <mergeCell ref="A16:B16"/>
    <mergeCell ref="A17:B17"/>
    <mergeCell ref="A18:B18"/>
    <mergeCell ref="A19:B19"/>
    <mergeCell ref="A20:B20"/>
    <mergeCell ref="F29:G29"/>
    <mergeCell ref="H29:J29"/>
    <mergeCell ref="A21:B21"/>
    <mergeCell ref="A22:B22"/>
    <mergeCell ref="A23:B23"/>
    <mergeCell ref="A24:B24"/>
    <mergeCell ref="A25:B25"/>
    <mergeCell ref="H28:J28"/>
    <mergeCell ref="A29:B29"/>
    <mergeCell ref="A30:B30"/>
    <mergeCell ref="F30:G30"/>
    <mergeCell ref="A31:B31"/>
    <mergeCell ref="F31:G31"/>
    <mergeCell ref="A32:B32"/>
    <mergeCell ref="F32:G32"/>
    <mergeCell ref="F33:G33"/>
    <mergeCell ref="F34:G34"/>
    <mergeCell ref="F35:G35"/>
    <mergeCell ref="F36:G36"/>
    <mergeCell ref="F37:G37"/>
    <mergeCell ref="F38:G38"/>
    <mergeCell ref="H39:J39"/>
    <mergeCell ref="H41:J41"/>
    <mergeCell ref="A56:J56"/>
    <mergeCell ref="A58:J58"/>
    <mergeCell ref="A60:J60"/>
    <mergeCell ref="A62:J62"/>
    <mergeCell ref="A64:J64"/>
  </mergeCells>
  <dataValidations>
    <dataValidation type="list" allowBlank="1" sqref="A35 A43">
      <formula1>'Supplement Master List'!$A$2:$A$7</formula1>
    </dataValidation>
    <dataValidation type="list" allowBlank="1" sqref="A44">
      <formula1>'Supplement Master List'!$A$52:$A$58</formula1>
    </dataValidation>
    <dataValidation type="list" allowBlank="1" sqref="A14:A25">
      <formula1>'Unbalanced PMR Recipe Data'!$G$98:$Q$111</formula1>
    </dataValidation>
    <dataValidation type="list" allowBlank="1" sqref="A50">
      <formula1>'Supplement Master List'!$A$47:$A$51</formula1>
    </dataValidation>
    <dataValidation type="list" allowBlank="1" sqref="A52">
      <formula1>'Supplement Master List'!$A$67:$A$68</formula1>
    </dataValidation>
    <dataValidation type="list" allowBlank="1" sqref="A34">
      <formula1>'Supplement Master List'!$A$29:$A$32</formula1>
    </dataValidation>
    <dataValidation type="list" allowBlank="1" sqref="A38 A48">
      <formula1>'Supplement Master List'!$A$33:$A$36</formula1>
    </dataValidation>
    <dataValidation type="list" allowBlank="1" sqref="A37 A47">
      <formula1>'Supplement Master List'!$A$21:$A$23</formula1>
    </dataValidation>
    <dataValidation type="list" allowBlank="1" sqref="A45">
      <formula1>'Supplement Master List'!$A$59:$A$62</formula1>
    </dataValidation>
    <dataValidation type="list" allowBlank="1" sqref="A53">
      <formula1>'Supplement Master List'!$A$69:$A$72</formula1>
    </dataValidation>
    <dataValidation type="list" allowBlank="1" sqref="A49">
      <formula1>'Supplement Master List'!$A$37:$A$39</formula1>
    </dataValidation>
    <dataValidation type="list" allowBlank="1" sqref="A32">
      <formula1>'Supplement Master List'!$A$44:$A$46</formula1>
    </dataValidation>
    <dataValidation type="list" allowBlank="1" sqref="A30">
      <formula1>'Supplement Master List'!$A$16:$A$20</formula1>
    </dataValidation>
    <dataValidation type="list" allowBlank="1" sqref="A33">
      <formula1>'Supplement Master List'!$A$63:$A$66</formula1>
    </dataValidation>
    <dataValidation type="list" allowBlank="1" sqref="A51">
      <formula1>'Supplement Master List'!$A$42:$A$43</formula1>
    </dataValidation>
    <dataValidation type="list" allowBlank="1" sqref="A31">
      <formula1>'Supplement Master List'!$A$8:$A$14</formula1>
    </dataValidation>
    <dataValidation type="list" allowBlank="1" sqref="A36 A46">
      <formula1>'Supplement Master List'!$A$24:$A$28</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9.0"/>
    <col customWidth="1" min="2" max="2" width="3.0"/>
    <col customWidth="1" min="3" max="3" width="14.13"/>
    <col customWidth="1" min="4" max="4" width="20.75"/>
    <col customWidth="1" min="5" max="6" width="3.25"/>
    <col customWidth="1" min="7" max="7" width="18.88"/>
    <col customWidth="1" min="8" max="13" width="9.0"/>
  </cols>
  <sheetData>
    <row r="1">
      <c r="A1" s="201" t="s">
        <v>394</v>
      </c>
    </row>
    <row r="2" ht="15.75" customHeight="1">
      <c r="A2" s="202"/>
      <c r="C2" s="202"/>
      <c r="E2" s="202"/>
      <c r="F2" s="202"/>
      <c r="G2" s="202"/>
      <c r="H2" s="203"/>
      <c r="I2" s="203"/>
      <c r="J2" s="203"/>
      <c r="K2" s="203"/>
      <c r="L2" s="204"/>
      <c r="M2" s="205"/>
    </row>
    <row r="3">
      <c r="A3" s="206" t="s">
        <v>118</v>
      </c>
      <c r="B3" s="207"/>
      <c r="C3" s="207"/>
      <c r="D3" s="207"/>
      <c r="E3" s="207"/>
      <c r="F3" s="207"/>
      <c r="G3" s="207"/>
      <c r="H3" s="207"/>
      <c r="I3" s="207"/>
      <c r="J3" s="207"/>
      <c r="K3" s="177"/>
      <c r="L3" s="567" t="str">
        <f>'Unbalanced PMR Recipe'!L3</f>
        <v>PET NAME</v>
      </c>
      <c r="M3" s="177"/>
    </row>
    <row r="4">
      <c r="A4" s="206" t="str">
        <f>CONCATENATE("Ideal Weight in ",'Balanced Recipe'!M4)</f>
        <v>Ideal Weight in LB</v>
      </c>
      <c r="B4" s="177"/>
      <c r="C4" s="206"/>
      <c r="D4" s="177"/>
      <c r="E4" s="206"/>
      <c r="F4" s="206"/>
      <c r="G4" s="206"/>
      <c r="H4" s="210"/>
      <c r="I4" s="210"/>
      <c r="J4" s="210"/>
      <c r="K4" s="215"/>
      <c r="L4" s="295">
        <f>'Unbalanced PMR Recipe'!L4</f>
        <v>50</v>
      </c>
      <c r="M4" s="223" t="str">
        <f>'Unbalanced PMR Recipe'!M4</f>
        <v>LB</v>
      </c>
    </row>
    <row r="5">
      <c r="A5" s="213" t="s">
        <v>122</v>
      </c>
      <c r="B5" s="213"/>
      <c r="C5" s="213"/>
      <c r="D5" s="213"/>
      <c r="E5" s="213"/>
      <c r="F5" s="213"/>
      <c r="G5" s="179"/>
      <c r="H5" s="179"/>
      <c r="I5" s="179"/>
      <c r="J5" s="179"/>
      <c r="K5" s="214" t="str">
        <f>'Unbalanced PMR Recipe'!K5</f>
        <v>ALL LIFE STAGE</v>
      </c>
      <c r="L5" s="179"/>
      <c r="M5" s="179"/>
    </row>
    <row r="6">
      <c r="A6" s="213" t="s">
        <v>123</v>
      </c>
      <c r="B6" s="179"/>
      <c r="C6" s="213"/>
      <c r="D6" s="179"/>
      <c r="E6" s="213"/>
      <c r="F6" s="213"/>
      <c r="G6" s="213"/>
      <c r="H6" s="215"/>
      <c r="I6" s="215"/>
      <c r="J6" s="215"/>
      <c r="K6" s="215"/>
      <c r="L6" s="568">
        <f>'Unbalanced PMR Recipe'!L6</f>
        <v>1000</v>
      </c>
      <c r="M6" s="179"/>
    </row>
    <row r="7" hidden="1">
      <c r="A7" s="213" t="s">
        <v>124</v>
      </c>
      <c r="C7" s="217"/>
      <c r="E7" s="213"/>
      <c r="F7" s="213"/>
      <c r="G7" s="213"/>
      <c r="H7" s="215"/>
      <c r="I7" s="215"/>
      <c r="J7" s="218"/>
      <c r="K7" s="210"/>
      <c r="L7" s="219"/>
      <c r="M7" s="177"/>
    </row>
    <row r="8" ht="16.5" hidden="1" customHeight="1">
      <c r="A8" s="213" t="s">
        <v>125</v>
      </c>
      <c r="B8" s="177"/>
      <c r="C8" s="220"/>
      <c r="D8" s="177"/>
      <c r="E8" s="213"/>
      <c r="F8" s="213"/>
      <c r="G8" s="213"/>
      <c r="H8" s="215"/>
      <c r="I8" s="215"/>
      <c r="J8" s="221"/>
      <c r="K8" s="217"/>
      <c r="L8" s="222" t="str">
        <f>if('Balanced Recipe'!M4="LB",sum(M4*L7)*16,sum(M4*L7)*1000)</f>
        <v>#VALUE!</v>
      </c>
      <c r="M8" s="223" t="str">
        <f>if('Balanced Recipe'!M4="LB","OZ","G")</f>
        <v>OZ</v>
      </c>
    </row>
    <row r="9" ht="15.75" customHeight="1">
      <c r="A9" s="224"/>
      <c r="B9" s="224"/>
      <c r="C9" s="224"/>
      <c r="D9" s="203"/>
      <c r="E9" s="203"/>
      <c r="F9" s="203"/>
      <c r="G9" s="225"/>
      <c r="H9" s="226"/>
      <c r="J9" s="227"/>
      <c r="K9" s="224"/>
      <c r="L9" s="228"/>
      <c r="M9" s="229"/>
    </row>
    <row r="10" ht="18.0" customHeight="1">
      <c r="A10" s="230" t="s">
        <v>126</v>
      </c>
      <c r="B10" s="231" t="s">
        <v>127</v>
      </c>
      <c r="C10" s="232"/>
      <c r="D10" s="232"/>
      <c r="E10" s="232"/>
      <c r="F10" s="232"/>
      <c r="G10" s="232"/>
      <c r="H10" s="233" t="s">
        <v>128</v>
      </c>
      <c r="I10" s="232"/>
      <c r="J10" s="232"/>
      <c r="K10" s="234"/>
      <c r="L10" s="235" t="s">
        <v>129</v>
      </c>
      <c r="M10" s="232"/>
    </row>
    <row r="11">
      <c r="A11" s="569" t="str">
        <f>A1</f>
        <v>BALANCED RECIPE</v>
      </c>
      <c r="B11" s="237">
        <f t="array" ref="B11:B25">SEQUENCE(15,1,1,1)</f>
        <v>1</v>
      </c>
      <c r="C11" s="238" t="str">
        <f>'Balanced Recipe Shopping List'!A15</f>
        <v>Rabbit, skinless, without organs, without fur</v>
      </c>
      <c r="D11" s="239"/>
      <c r="E11" s="239"/>
      <c r="F11" s="239"/>
      <c r="G11" s="239"/>
      <c r="H11" s="240">
        <f>sum(J11/28.35)</f>
        <v>16.0398871</v>
      </c>
      <c r="I11" s="241" t="s">
        <v>130</v>
      </c>
      <c r="J11" s="242">
        <f>sum(vlookup(C11,'Balanced Recipe Data'!$G$1:$U$201,12,false))/('Balanced Recipe Data'!$F$21/$L$6)</f>
        <v>454.7307994</v>
      </c>
      <c r="K11" s="243" t="s">
        <v>40</v>
      </c>
      <c r="L11" s="242">
        <f>sum((vlookup(C11,'Balanced Recipe Data'!$G$1:$U$201,14,false))/('Balanced Recipe Data'!$F$21/$L$6))</f>
        <v>577.5081152</v>
      </c>
      <c r="M11" s="244" t="s">
        <v>131</v>
      </c>
    </row>
    <row r="12">
      <c r="A12" s="245"/>
      <c r="B12" s="246">
        <v>2.0</v>
      </c>
      <c r="C12" s="247" t="str">
        <f>'Balanced Recipe Shopping List'!A16</f>
        <v>Rabbit Heart</v>
      </c>
      <c r="D12" s="248"/>
      <c r="E12" s="248"/>
      <c r="F12" s="248"/>
      <c r="G12" s="248"/>
      <c r="H12" s="249">
        <f>J12/28.35</f>
        <v>4.230299895</v>
      </c>
      <c r="I12" s="250" t="s">
        <v>130</v>
      </c>
      <c r="J12" s="251">
        <f>sum(vlookup(C12,'Balanced Recipe Data'!$G$1:$U$201,12,false))/('Balanced Recipe Data'!$F$21/$L$6)</f>
        <v>119.929002</v>
      </c>
      <c r="K12" s="252" t="s">
        <v>40</v>
      </c>
      <c r="L12" s="251">
        <f>sum((vlookup(C12,'Balanced Recipe Data'!$G$1:$U$201,14,false))/('Balanced Recipe Data'!$F$21/$L$6))</f>
        <v>167.9006028</v>
      </c>
      <c r="M12" s="253" t="s">
        <v>131</v>
      </c>
    </row>
    <row r="13">
      <c r="A13" s="245"/>
      <c r="B13" s="255">
        <v>3.0</v>
      </c>
      <c r="C13" s="256" t="str">
        <f>'Balanced Recipe Shopping List'!A17</f>
        <v>Rabbit Liver</v>
      </c>
      <c r="D13" s="257"/>
      <c r="E13" s="257"/>
      <c r="F13" s="257"/>
      <c r="G13" s="257"/>
      <c r="H13" s="258">
        <f t="shared" ref="H13:H14" si="1">sum(J13/28.35)</f>
        <v>1.057574974</v>
      </c>
      <c r="I13" s="259" t="s">
        <v>130</v>
      </c>
      <c r="J13" s="242">
        <f>sum(vlookup(C13,'Balanced Recipe Data'!$G$1:$U$201,12,false))/('Balanced Recipe Data'!$F$21/$L$6)</f>
        <v>29.98225051</v>
      </c>
      <c r="K13" s="260" t="s">
        <v>40</v>
      </c>
      <c r="L13" s="242">
        <f>sum((vlookup(C13,'Balanced Recipe Data'!$G$1:$U$201,14,false))/('Balanced Recipe Data'!$F$21/$L$6))</f>
        <v>38.37728065</v>
      </c>
      <c r="M13" s="261" t="s">
        <v>131</v>
      </c>
    </row>
    <row r="14" ht="9.0" customHeight="1">
      <c r="A14" s="245"/>
      <c r="B14" s="246">
        <v>4.0</v>
      </c>
      <c r="C14" s="247" t="str">
        <f>'Balanced Recipe Shopping List'!A18</f>
        <v>Sweet Potato, cooked</v>
      </c>
      <c r="D14" s="248"/>
      <c r="E14" s="248"/>
      <c r="F14" s="248"/>
      <c r="G14" s="248"/>
      <c r="H14" s="570">
        <f t="shared" si="1"/>
        <v>1.762624956</v>
      </c>
      <c r="I14" s="250" t="s">
        <v>130</v>
      </c>
      <c r="J14" s="251">
        <f>sum(vlookup(C14,'Balanced Recipe Data'!$G$1:$U$201,12,false))/('Balanced Recipe Data'!$F$21/$L$6)</f>
        <v>49.97041751</v>
      </c>
      <c r="K14" s="252" t="s">
        <v>40</v>
      </c>
      <c r="L14" s="251">
        <f>sum((vlookup(C14,'Balanced Recipe Data'!$G$1:$U$201,14,false))/('Balanced Recipe Data'!$F$21/$L$6))</f>
        <v>49.97041751</v>
      </c>
      <c r="M14" s="253" t="s">
        <v>131</v>
      </c>
    </row>
    <row r="15" ht="9.0" customHeight="1">
      <c r="A15" s="245"/>
      <c r="B15" s="255">
        <v>5.0</v>
      </c>
      <c r="C15" s="256" t="str">
        <f>'Balanced Recipe Shopping List'!A19</f>
        <v>Green Beans, raw, chopped or pureed</v>
      </c>
      <c r="D15" s="257"/>
      <c r="E15" s="257"/>
      <c r="F15" s="257"/>
      <c r="G15" s="257"/>
      <c r="H15" s="258">
        <f>J15/28.35</f>
        <v>0.8813124782</v>
      </c>
      <c r="I15" s="259" t="s">
        <v>130</v>
      </c>
      <c r="J15" s="242">
        <f>sum(vlookup(C15,'Balanced Recipe Data'!$G$1:$U$201,12,false))/('Balanced Recipe Data'!$F$21/$L$6)</f>
        <v>24.98520876</v>
      </c>
      <c r="K15" s="260" t="s">
        <v>40</v>
      </c>
      <c r="L15" s="242">
        <f>sum((vlookup(C15,'Balanced Recipe Data'!$G$1:$U$201,14,false))/('Balanced Recipe Data'!$F$21/$L$6))</f>
        <v>7.745414714</v>
      </c>
      <c r="M15" s="261" t="s">
        <v>131</v>
      </c>
    </row>
    <row r="16">
      <c r="A16" s="245"/>
      <c r="B16" s="246">
        <v>6.0</v>
      </c>
      <c r="C16" s="571" t="str">
        <f>'Balanced Recipe Shopping List'!A20</f>
        <v>Mineral Salt, pink or grey </v>
      </c>
      <c r="D16" s="248"/>
      <c r="E16" s="248"/>
      <c r="F16" s="248"/>
      <c r="G16" s="248"/>
      <c r="H16" s="570">
        <f>sum(J16/28.35)</f>
        <v>0.01762624956</v>
      </c>
      <c r="I16" s="250" t="s">
        <v>130</v>
      </c>
      <c r="J16" s="251">
        <f>sum(vlookup(C16,'Balanced Recipe Data'!$G$1:$U$201,12,false))/('Balanced Recipe Data'!$F$21/$L$6)</f>
        <v>0.4997041751</v>
      </c>
      <c r="K16" s="252" t="s">
        <v>40</v>
      </c>
      <c r="L16" s="251">
        <f>sum((vlookup(C16,'Balanced Recipe Data'!$G$1:$U$201,14,false))/('Balanced Recipe Data'!$F$21/$L$6))</f>
        <v>0</v>
      </c>
      <c r="M16" s="253" t="s">
        <v>131</v>
      </c>
    </row>
    <row r="17">
      <c r="A17" s="245"/>
      <c r="B17" s="255">
        <v>7.0</v>
      </c>
      <c r="C17" s="256" t="str">
        <f>'Balanced Recipe Shopping List'!A27</f>
        <v>Coconut Oil, cold pressed</v>
      </c>
      <c r="D17" s="257"/>
      <c r="E17" s="257"/>
      <c r="F17" s="257"/>
      <c r="G17" s="257"/>
      <c r="H17" s="258">
        <f>J17/13.6</f>
        <v>0.9994083503</v>
      </c>
      <c r="I17" s="259" t="str">
        <f>IF(C17="","",vlookup(C17,'Supplement Master List'!$A$2:$Q$1032,8,false))</f>
        <v>TBSP</v>
      </c>
      <c r="J17" s="242">
        <f>sum(vlookup(C17,'Balanced Recipe Data'!$G$1:$U$201,12,false))/('Balanced Recipe Data'!$F$21/$L$6)</f>
        <v>13.59195356</v>
      </c>
      <c r="K17" s="260" t="s">
        <v>40</v>
      </c>
      <c r="L17" s="242">
        <f>sum((vlookup(C17,'Balanced Recipe Data'!$G$1:$U$201,14,false))/('Balanced Recipe Data'!$F$21/$L$6))</f>
        <v>117.1626397</v>
      </c>
      <c r="M17" s="261" t="s">
        <v>131</v>
      </c>
    </row>
    <row r="18" ht="16.5" customHeight="1">
      <c r="A18" s="245"/>
      <c r="B18" s="572">
        <v>8.0</v>
      </c>
      <c r="C18" s="573" t="str">
        <f>'Balanced Recipe Shopping List'!A25</f>
        <v>Flax Seeds (fresh ground)</v>
      </c>
      <c r="D18" s="574"/>
      <c r="E18" s="574"/>
      <c r="F18" s="574"/>
      <c r="G18" s="574"/>
      <c r="H18" s="575">
        <f>if(I18="TSP",mround(sum(J18/5),0.25),if(I18="G",J18,"#N/A"))</f>
        <v>3.997633401</v>
      </c>
      <c r="I18" s="576" t="str">
        <f>VLOOKUP(C18,'Supplement Master List'!$A$1:$Q$1032,8,FALSE)</f>
        <v>G</v>
      </c>
      <c r="J18" s="577">
        <f>sum(vlookup(C18,'Balanced Recipe Data'!$G$1:$U$201,12,false))/('Balanced Recipe Data'!$F$21/$L$6)</f>
        <v>3.997633401</v>
      </c>
      <c r="K18" s="578" t="s">
        <v>40</v>
      </c>
      <c r="L18" s="577">
        <f>sum((vlookup(C18,'Balanced Recipe Data'!$G$1:$U$201,14,false))/('Balanced Recipe Data'!$F$21/$L$6))</f>
        <v>21.34736236</v>
      </c>
      <c r="M18" s="579" t="s">
        <v>131</v>
      </c>
    </row>
    <row r="19">
      <c r="A19" s="245"/>
      <c r="B19" s="255">
        <v>9.0</v>
      </c>
      <c r="C19" s="238" t="str">
        <f>'Balanced Recipe Shopping List'!A34</f>
        <v>Solgar Zinc Picolinate, 22mg</v>
      </c>
      <c r="D19" s="239"/>
      <c r="E19" s="239"/>
      <c r="F19" s="239"/>
      <c r="G19" s="239"/>
      <c r="H19" s="258">
        <f t="shared" ref="H19:I19" si="2">J19</f>
        <v>0.9994083503</v>
      </c>
      <c r="I19" s="580" t="str">
        <f t="shared" si="2"/>
        <v>PILL</v>
      </c>
      <c r="J19" s="242">
        <f>sum(vlookup(C19,'Balanced Recipe Data'!$G$1:$U$201,12,false))/('Balanced Recipe Data'!$F$21/$L$6)</f>
        <v>0.9994083503</v>
      </c>
      <c r="K19" s="581" t="str">
        <f>IF(C19="","",vlookup(C19,'Supplement Master List'!$A$2:$Q$1032,8,false))</f>
        <v>PILL</v>
      </c>
      <c r="L19" s="582">
        <v>0.0</v>
      </c>
      <c r="M19" s="261" t="s">
        <v>131</v>
      </c>
    </row>
    <row r="20">
      <c r="A20" s="245"/>
      <c r="B20" s="246">
        <v>10.0</v>
      </c>
      <c r="C20" s="583" t="str">
        <f>'Balanced Recipe Shopping List'!A35</f>
        <v>Solgar Chelated Manganese, 8mg</v>
      </c>
      <c r="D20" s="427"/>
      <c r="E20" s="427"/>
      <c r="F20" s="427"/>
      <c r="G20" s="427"/>
      <c r="H20" s="570">
        <f t="shared" ref="H20:I20" si="3">J20</f>
        <v>0.2498520876</v>
      </c>
      <c r="I20" s="584" t="str">
        <f t="shared" si="3"/>
        <v>PILL</v>
      </c>
      <c r="J20" s="251">
        <f>sum(vlookup(C20,'Balanced Recipe Data'!$G$1:$U$201,12,false))/('Balanced Recipe Data'!$F$21/$L$6)</f>
        <v>0.2498520876</v>
      </c>
      <c r="K20" s="585" t="str">
        <f>IF(C20="","",vlookup(C20,'Supplement Master List'!$A$2:$Q$1032,8,false))</f>
        <v>PILL</v>
      </c>
      <c r="L20" s="586">
        <v>0.0</v>
      </c>
      <c r="M20" s="253" t="s">
        <v>131</v>
      </c>
    </row>
    <row r="21">
      <c r="A21" s="245"/>
      <c r="B21" s="255">
        <v>11.0</v>
      </c>
      <c r="C21" s="238" t="str">
        <f>'Balanced Recipe Shopping List'!A36</f>
        <v>Solgar Iron Bisglycinate, 25mg</v>
      </c>
      <c r="D21" s="239"/>
      <c r="E21" s="239"/>
      <c r="F21" s="239"/>
      <c r="G21" s="239"/>
      <c r="H21" s="258">
        <f t="shared" ref="H21:I21" si="4">J21</f>
        <v>0.9994083503</v>
      </c>
      <c r="I21" s="580" t="str">
        <f t="shared" si="4"/>
        <v>PILL</v>
      </c>
      <c r="J21" s="242">
        <f>sum(vlookup(C21,'Balanced Recipe Data'!$G$1:$U$201,12,false))/('Balanced Recipe Data'!$F$21/$L$6)</f>
        <v>0.9994083503</v>
      </c>
      <c r="K21" s="581" t="str">
        <f>IF(C21="","",vlookup(C21,'Supplement Master List'!$A$2:$Q$1032,8,false))</f>
        <v>PILL</v>
      </c>
      <c r="L21" s="582">
        <v>0.0</v>
      </c>
      <c r="M21" s="261" t="s">
        <v>131</v>
      </c>
    </row>
    <row r="22">
      <c r="A22" s="245"/>
      <c r="B22" s="246">
        <v>12.0</v>
      </c>
      <c r="C22" s="583" t="str">
        <f>'Balanced Recipe Shopping List'!A37</f>
        <v>Solgar Chelated Copper, 2.5mg</v>
      </c>
      <c r="D22" s="427"/>
      <c r="E22" s="427"/>
      <c r="F22" s="427"/>
      <c r="G22" s="427"/>
      <c r="H22" s="570">
        <f t="shared" ref="H22:I22" si="5">J22</f>
        <v>0.9994083503</v>
      </c>
      <c r="I22" s="584" t="str">
        <f t="shared" si="5"/>
        <v>PILL</v>
      </c>
      <c r="J22" s="251">
        <f>sum(vlookup(C22,'Balanced Recipe Data'!$G$1:$U$201,12,false))/('Balanced Recipe Data'!$F$21/$L$6)</f>
        <v>0.9994083503</v>
      </c>
      <c r="K22" s="585" t="str">
        <f>IF(C22="","",vlookup(C22,'Supplement Master List'!$A$2:$Q$1032,8,false))</f>
        <v>PILL</v>
      </c>
      <c r="L22" s="586">
        <v>0.0</v>
      </c>
      <c r="M22" s="253" t="s">
        <v>131</v>
      </c>
    </row>
    <row r="23">
      <c r="A23" s="245"/>
      <c r="B23" s="255">
        <v>13.0</v>
      </c>
      <c r="C23" s="256" t="str">
        <f>'Balanced Recipe Shopping List'!A28</f>
        <v>Carlson's Cod Liver Oil</v>
      </c>
      <c r="D23" s="257"/>
      <c r="E23" s="257"/>
      <c r="F23" s="257"/>
      <c r="G23" s="257"/>
      <c r="H23" s="258">
        <f t="shared" ref="H23:I23" si="6">J23</f>
        <v>0.4997041751</v>
      </c>
      <c r="I23" s="580" t="str">
        <f t="shared" si="6"/>
        <v>TSP</v>
      </c>
      <c r="J23" s="242">
        <f>sum(vlookup(C23,'Balanced Recipe Data'!$G$1:$U$201,12,false))/('Balanced Recipe Data'!$F$21/$L$6)</f>
        <v>0.4997041751</v>
      </c>
      <c r="K23" s="581" t="str">
        <f>IF(C23="","",vlookup(C23,'Supplement Master List'!$A$2:$Q$1032,8,false))</f>
        <v>TSP</v>
      </c>
      <c r="L23" s="242">
        <f>sum((vlookup(C23,'Balanced Recipe Data'!$G$1:$U$201,14,false))/('Balanced Recipe Data'!$F$21/$L$6))</f>
        <v>19.98816701</v>
      </c>
      <c r="M23" s="261" t="s">
        <v>131</v>
      </c>
    </row>
    <row r="24">
      <c r="A24" s="245"/>
      <c r="B24" s="246">
        <v>14.0</v>
      </c>
      <c r="C24" s="247" t="str">
        <f>'Balanced Recipe Shopping List'!A26</f>
        <v>NOW E Oil (31.625IU/drop)</v>
      </c>
      <c r="D24" s="248"/>
      <c r="E24" s="248"/>
      <c r="F24" s="248"/>
      <c r="G24" s="248"/>
      <c r="H24" s="570">
        <f t="shared" ref="H24:I24" si="7">J24</f>
        <v>3.162055336</v>
      </c>
      <c r="I24" s="584" t="str">
        <f t="shared" si="7"/>
        <v>DROP</v>
      </c>
      <c r="J24" s="587">
        <f>IF('Balanced Recipe'!$M$4="LB",sum(L4*'Balanced Recipe Data'!D15)/(VLOOKUP(C24,'Supplement Master List'!$A$1:$Q$1032,4,false)),IF('Balanced Recipe'!$M$4="KG",sum(((L4*2.20462)*'Balanced Recipe Data'!D15)/(VLOOKUP(C24,'Supplement Master List'!$A$1:$Q$1032,4,false)))," "))</f>
        <v>3.162055336</v>
      </c>
      <c r="K24" s="585" t="str">
        <f>vlookup(C24,'Supplement Master List'!$A$2:$Q$1032,8,false)</f>
        <v>DROP</v>
      </c>
      <c r="L24" s="586">
        <v>0.0</v>
      </c>
      <c r="M24" s="253" t="s">
        <v>131</v>
      </c>
    </row>
    <row r="25">
      <c r="A25" s="254"/>
      <c r="B25" s="588">
        <v>15.0</v>
      </c>
      <c r="C25" s="589" t="str">
        <f>'Balanced Recipe Shopping List'!A33</f>
        <v>NOW Pure Kelp Powder (450mcg/scoop)</v>
      </c>
      <c r="D25" s="590"/>
      <c r="E25" s="590"/>
      <c r="F25" s="590"/>
      <c r="G25" s="591"/>
      <c r="H25" s="592">
        <f t="shared" ref="H25:I25" si="8">J25</f>
        <v>0.4888888889</v>
      </c>
      <c r="I25" s="593" t="str">
        <f t="shared" si="8"/>
        <v>SCOOP</v>
      </c>
      <c r="J25" s="594">
        <f>sum('Balanced Recipe Data'!D16)/(VLOOKUP(C25,'Supplement Master List'!$A$1:$Q$1032,4,false))</f>
        <v>0.4888888889</v>
      </c>
      <c r="K25" s="595" t="str">
        <f>vlookup(C25,'Supplement Master List'!$A$2:$Q$1032,8,false)</f>
        <v>SCOOP</v>
      </c>
      <c r="L25" s="596">
        <v>0.0</v>
      </c>
      <c r="M25" s="597" t="s">
        <v>131</v>
      </c>
    </row>
    <row r="26">
      <c r="A26" s="262"/>
      <c r="B26" s="263"/>
      <c r="C26" s="263"/>
      <c r="D26" s="264"/>
      <c r="E26" s="263"/>
      <c r="F26" s="263"/>
      <c r="G26" s="263"/>
      <c r="H26" s="265">
        <f>sum(J26/28.35)</f>
        <v>24.60976964</v>
      </c>
      <c r="I26" s="266" t="str">
        <f>I11</f>
        <v>OZ</v>
      </c>
      <c r="J26" s="267">
        <f>sum(J11:J18)</f>
        <v>697.6869693</v>
      </c>
      <c r="K26" s="268" t="str">
        <f>K11</f>
        <v>G</v>
      </c>
      <c r="L26" s="269">
        <f>sum(L11:L25)</f>
        <v>1000</v>
      </c>
      <c r="M26" s="270" t="str">
        <f>M11</f>
        <v>KCAL</v>
      </c>
    </row>
    <row r="27" ht="15.75" customHeight="1">
      <c r="A27" s="271"/>
      <c r="B27" s="203"/>
      <c r="C27" s="203"/>
      <c r="D27" s="272"/>
      <c r="E27" s="203"/>
      <c r="F27" s="203"/>
      <c r="G27" s="203"/>
      <c r="H27" s="273"/>
      <c r="I27" s="274"/>
      <c r="J27" s="282"/>
      <c r="K27" s="276"/>
      <c r="L27" s="277"/>
      <c r="M27" s="278"/>
    </row>
    <row r="28">
      <c r="A28" s="283" t="s">
        <v>132</v>
      </c>
      <c r="B28" s="283"/>
      <c r="C28" s="283"/>
      <c r="D28" s="283"/>
      <c r="E28" s="283"/>
      <c r="F28" s="283"/>
      <c r="G28" s="273"/>
      <c r="H28" s="283" t="s">
        <v>133</v>
      </c>
      <c r="I28" s="177"/>
      <c r="J28" s="177"/>
      <c r="K28" s="177"/>
      <c r="L28" s="177"/>
      <c r="M28" s="177"/>
    </row>
    <row r="29">
      <c r="A29" s="271"/>
      <c r="B29" s="203"/>
      <c r="C29" s="203"/>
      <c r="D29" s="203"/>
      <c r="E29" s="203"/>
      <c r="F29" s="203"/>
      <c r="G29" s="203"/>
      <c r="H29" s="273"/>
      <c r="I29" s="274"/>
      <c r="J29" s="282"/>
      <c r="K29" s="276"/>
      <c r="L29" s="277"/>
      <c r="M29" s="278"/>
    </row>
    <row r="30">
      <c r="A30" s="271"/>
      <c r="B30" s="203"/>
      <c r="C30" s="203"/>
      <c r="D30" s="203"/>
      <c r="E30" s="203"/>
      <c r="F30" s="203"/>
      <c r="G30" s="203"/>
      <c r="H30" s="273"/>
      <c r="I30" s="274"/>
      <c r="J30" s="282"/>
      <c r="K30" s="276"/>
      <c r="L30" s="277"/>
      <c r="M30" s="278"/>
    </row>
    <row r="31">
      <c r="A31" s="271"/>
      <c r="B31" s="203"/>
      <c r="C31" s="203"/>
      <c r="D31" s="203"/>
      <c r="E31" s="203"/>
      <c r="F31" s="203"/>
      <c r="G31" s="203"/>
      <c r="H31" s="284"/>
      <c r="I31" s="284"/>
      <c r="J31" s="284"/>
      <c r="K31" s="284"/>
      <c r="L31" s="284"/>
      <c r="M31" s="284"/>
    </row>
    <row r="32">
      <c r="A32" s="271"/>
      <c r="B32" s="203"/>
      <c r="C32" s="203"/>
      <c r="D32" s="203"/>
      <c r="E32" s="203"/>
      <c r="F32" s="203"/>
      <c r="G32" s="203"/>
      <c r="H32" s="284"/>
      <c r="I32" s="284"/>
      <c r="J32" s="284"/>
      <c r="K32" s="284"/>
      <c r="L32" s="284"/>
      <c r="M32" s="284"/>
    </row>
    <row r="33">
      <c r="A33" s="271"/>
      <c r="B33" s="203"/>
      <c r="C33" s="203"/>
      <c r="D33" s="203"/>
      <c r="E33" s="203"/>
      <c r="F33" s="203"/>
      <c r="G33" s="203"/>
      <c r="H33" s="284"/>
      <c r="I33" s="284"/>
      <c r="J33" s="284"/>
      <c r="K33" s="284"/>
      <c r="L33" s="284"/>
      <c r="M33" s="284"/>
    </row>
    <row r="34">
      <c r="A34" s="271"/>
      <c r="B34" s="203"/>
      <c r="C34" s="203"/>
      <c r="D34" s="203"/>
      <c r="E34" s="203"/>
      <c r="F34" s="203"/>
      <c r="G34" s="203"/>
      <c r="H34" s="284"/>
      <c r="I34" s="284"/>
      <c r="J34" s="284"/>
      <c r="K34" s="284"/>
      <c r="L34" s="284"/>
      <c r="M34" s="284"/>
    </row>
    <row r="35">
      <c r="A35" s="271"/>
      <c r="B35" s="203"/>
      <c r="C35" s="203"/>
      <c r="D35" s="203"/>
      <c r="E35" s="203"/>
      <c r="F35" s="203"/>
      <c r="G35" s="203"/>
      <c r="H35" s="284"/>
      <c r="I35" s="284"/>
      <c r="J35" s="284"/>
      <c r="K35" s="284"/>
      <c r="L35" s="284"/>
      <c r="M35" s="284"/>
    </row>
    <row r="36">
      <c r="A36" s="271"/>
      <c r="B36" s="203"/>
      <c r="C36" s="203"/>
      <c r="D36" s="203"/>
      <c r="E36" s="203"/>
      <c r="F36" s="203"/>
      <c r="G36" s="203"/>
      <c r="H36" s="284"/>
      <c r="I36" s="284"/>
      <c r="J36" s="284"/>
      <c r="K36" s="284"/>
      <c r="L36" s="284"/>
      <c r="M36" s="284"/>
    </row>
    <row r="37">
      <c r="A37" s="271"/>
      <c r="B37" s="203"/>
      <c r="C37" s="203"/>
      <c r="D37" s="203"/>
      <c r="E37" s="203"/>
      <c r="F37" s="203"/>
      <c r="G37" s="203"/>
      <c r="H37" s="284"/>
      <c r="I37" s="284"/>
      <c r="J37" s="284"/>
      <c r="K37" s="284"/>
      <c r="L37" s="284"/>
      <c r="M37" s="284"/>
    </row>
    <row r="38">
      <c r="A38" s="271"/>
      <c r="B38" s="203"/>
      <c r="C38" s="203"/>
      <c r="D38" s="203"/>
      <c r="E38" s="203"/>
      <c r="F38" s="203"/>
      <c r="G38" s="203"/>
      <c r="H38" s="284"/>
      <c r="I38" s="284"/>
      <c r="J38" s="284"/>
      <c r="K38" s="284"/>
      <c r="L38" s="284"/>
      <c r="M38" s="284"/>
    </row>
    <row r="39">
      <c r="A39" s="285">
        <f>sum('Balanced Recipe'!D39/('Balanced Recipe'!$D$39+'Balanced Recipe'!$D$40+'Balanced Recipe'!$D$41+'Balanced Recipe'!$D$42+'Balanced Recipe'!$D$44+'Balanced Recipe'!D43))</f>
        <v>0.71300296</v>
      </c>
      <c r="B39" s="283" t="s">
        <v>134</v>
      </c>
      <c r="C39" s="177"/>
      <c r="D39" s="286">
        <f>sum('Balanced Recipe Data'!F30/('Balanced Recipe Data'!$F$21/$L$6))</f>
        <v>503.1321458</v>
      </c>
      <c r="E39" s="287" t="s">
        <v>40</v>
      </c>
      <c r="F39" s="210"/>
      <c r="G39" s="203"/>
      <c r="H39" s="285">
        <f>sum('Balanced Recipe'!L39/('Balanced Recipe'!L39+'Balanced Recipe'!L40+'Balanced Recipe'!L41+'Balanced Recipe'!L42+'Balanced Recipe'!L44+'Balanced Recipe'!L43))</f>
        <v>0</v>
      </c>
      <c r="I39" s="283" t="str">
        <f t="shared" ref="I39:I44" si="9">B39</f>
        <v>Moisture</v>
      </c>
      <c r="J39" s="288"/>
      <c r="K39" s="289"/>
      <c r="L39" s="290">
        <v>0.0</v>
      </c>
      <c r="M39" s="291" t="str">
        <f t="shared" ref="M39:M44" si="10">$K$11</f>
        <v>G</v>
      </c>
    </row>
    <row r="40">
      <c r="A40" s="292">
        <f>sum('Balanced Recipe'!D40/('Balanced Recipe'!$D$39+'Balanced Recipe'!$D$40+'Balanced Recipe'!$D$41+'Balanced Recipe'!$D$42+'Balanced Recipe'!$D$44+'Balanced Recipe'!D43))</f>
        <v>0.1536773974</v>
      </c>
      <c r="B40" s="293" t="s">
        <v>135</v>
      </c>
      <c r="C40" s="179"/>
      <c r="D40" s="294">
        <f>sum('Balanced Recipe Data'!F22/('Balanced Recipe Data'!$F$21/$L$6))</f>
        <v>108.4428019</v>
      </c>
      <c r="E40" s="295" t="s">
        <v>40</v>
      </c>
      <c r="F40" s="215"/>
      <c r="G40" s="203"/>
      <c r="H40" s="292">
        <f>sum('Balanced Recipe'!L40/('Balanced Recipe'!L39+'Balanced Recipe'!L40+'Balanced Recipe'!L41+'Balanced Recipe'!L42+'Balanced Recipe'!L44+'Balanced Recipe'!L43))</f>
        <v>0.5354668377</v>
      </c>
      <c r="I40" s="283" t="str">
        <f t="shared" si="9"/>
        <v>Protein</v>
      </c>
      <c r="J40" s="296"/>
      <c r="K40" s="297"/>
      <c r="L40" s="294">
        <f>'Balanced Recipe'!D40</f>
        <v>108.4428019</v>
      </c>
      <c r="M40" s="291" t="str">
        <f t="shared" si="10"/>
        <v>G</v>
      </c>
    </row>
    <row r="41">
      <c r="A41" s="298">
        <f>sum('Balanced Recipe'!D41/('Balanced Recipe'!$D$39+'Balanced Recipe'!$D$40+'Balanced Recipe'!$D$41+'Balanced Recipe'!$D$42+'Balanced Recipe'!$D$44+'Balanced Recipe'!D43))</f>
        <v>0.07709858796</v>
      </c>
      <c r="B41" s="299" t="s">
        <v>136</v>
      </c>
      <c r="C41" s="179"/>
      <c r="D41" s="294">
        <f>sum('Balanced Recipe Data'!F23/('Balanced Recipe Data'!$F$21/$L$6))</f>
        <v>54.40479236</v>
      </c>
      <c r="E41" s="295" t="s">
        <v>40</v>
      </c>
      <c r="F41" s="215"/>
      <c r="G41" s="203"/>
      <c r="H41" s="298">
        <f>sum('Balanced Recipe'!L41/('Balanced Recipe'!L39+'Balanced Recipe'!L40+'Balanced Recipe'!L41+'Balanced Recipe'!L42+'Balanced Recipe'!L44+'Balanced Recipe'!L43))</f>
        <v>0.2686389657</v>
      </c>
      <c r="I41" s="283" t="str">
        <f t="shared" si="9"/>
        <v>Fat</v>
      </c>
      <c r="J41" s="296"/>
      <c r="K41" s="297"/>
      <c r="L41" s="294">
        <f>'Balanced Recipe'!D41</f>
        <v>54.40479236</v>
      </c>
      <c r="M41" s="291" t="str">
        <f t="shared" si="10"/>
        <v>G</v>
      </c>
    </row>
    <row r="42">
      <c r="A42" s="300">
        <f>sum('Balanced Recipe'!D42/('Balanced Recipe'!$D$39+'Balanced Recipe'!$D$40+'Balanced Recipe'!$D$41+'Balanced Recipe'!$D$42+'Balanced Recipe'!$D$44+'Balanced Recipe'!D43))</f>
        <v>0.02135482318</v>
      </c>
      <c r="B42" s="293" t="s">
        <v>137</v>
      </c>
      <c r="C42" s="179"/>
      <c r="D42" s="294">
        <f>sum('Balanced Recipe Data'!F28/('Balanced Recipe Data'!$F$21/$L$6))</f>
        <v>15.06907911</v>
      </c>
      <c r="E42" s="295" t="s">
        <v>40</v>
      </c>
      <c r="F42" s="215"/>
      <c r="G42" s="203"/>
      <c r="H42" s="300">
        <f>sum('Balanced Recipe'!L42/('Balanced Recipe'!L39+'Balanced Recipe'!L40+'Balanced Recipe'!L41+'Balanced Recipe'!L42+'Balanced Recipe'!L44+'Balanced Recipe'!L43))</f>
        <v>0.07440781682</v>
      </c>
      <c r="I42" s="283" t="str">
        <f t="shared" si="9"/>
        <v>Carbohydrate</v>
      </c>
      <c r="J42" s="296"/>
      <c r="K42" s="297"/>
      <c r="L42" s="294">
        <f>'Balanced Recipe'!D42</f>
        <v>15.06907911</v>
      </c>
      <c r="M42" s="291" t="str">
        <f t="shared" si="10"/>
        <v>G</v>
      </c>
    </row>
    <row r="43">
      <c r="A43" s="301">
        <f>sum('Balanced Recipe'!D43/('Balanced Recipe'!$D$39+'Balanced Recipe'!$D$40+'Balanced Recipe'!$D$41+'Balanced Recipe'!$D$42+'Balanced Recipe'!$D$44+'Balanced Recipe'!D43))</f>
        <v>0.003777245882</v>
      </c>
      <c r="B43" s="293" t="s">
        <v>138</v>
      </c>
      <c r="C43" s="179"/>
      <c r="D43" s="294">
        <f>sum('Balanced Recipe Data'!F29/('Balanced Recipe Data'!$F$21/$L$6))</f>
        <v>2.66542207</v>
      </c>
      <c r="E43" s="295" t="s">
        <v>40</v>
      </c>
      <c r="F43" s="215"/>
      <c r="G43" s="203"/>
      <c r="H43" s="301">
        <f>sum('Balanced Recipe'!L43/('Balanced Recipe'!L39+'Balanced Recipe'!L40+'Balanced Recipe'!L41+'Balanced Recipe'!L42+'Balanced Recipe'!L44+'Balanced Recipe'!L43))</f>
        <v>0.01316127122</v>
      </c>
      <c r="I43" s="283" t="str">
        <f t="shared" si="9"/>
        <v>Fiber</v>
      </c>
      <c r="J43" s="302"/>
      <c r="K43" s="303"/>
      <c r="L43" s="294">
        <f>'Balanced Recipe'!D43</f>
        <v>2.66542207</v>
      </c>
      <c r="M43" s="291" t="str">
        <f t="shared" si="10"/>
        <v>G</v>
      </c>
    </row>
    <row r="44">
      <c r="A44" s="304">
        <f>sum('Balanced Recipe'!D44/('Balanced Recipe'!$D$39+'Balanced Recipe'!$D$40+'Balanced Recipe'!$D$41+'Balanced Recipe'!$D$42+'Balanced Recipe'!$D$44+'Balanced Recipe'!D43))</f>
        <v>0.03108898551</v>
      </c>
      <c r="B44" s="293" t="s">
        <v>139</v>
      </c>
      <c r="C44" s="179"/>
      <c r="D44" s="294">
        <f>sum('Balanced Recipe Data'!F31/('Balanced Recipe Data'!$F$21/$L$6))</f>
        <v>21.9380127</v>
      </c>
      <c r="E44" s="295" t="s">
        <v>40</v>
      </c>
      <c r="F44" s="215"/>
      <c r="G44" s="203"/>
      <c r="H44" s="304">
        <f>sum('Balanced Recipe'!L44/('Balanced Recipe'!L39+'Balanced Recipe'!L40+'Balanced Recipe'!L41+'Balanced Recipe'!L42+'Balanced Recipe'!L44+'Balanced Recipe'!L43))</f>
        <v>0.1083251086</v>
      </c>
      <c r="I44" s="283" t="str">
        <f t="shared" si="9"/>
        <v>Ash</v>
      </c>
      <c r="J44" s="296"/>
      <c r="K44" s="297"/>
      <c r="L44" s="294">
        <f>'Balanced Recipe'!D44</f>
        <v>21.9380127</v>
      </c>
      <c r="M44" s="291" t="str">
        <f t="shared" si="10"/>
        <v>G</v>
      </c>
    </row>
  </sheetData>
  <mergeCells count="25">
    <mergeCell ref="C19:G19"/>
    <mergeCell ref="C20:G20"/>
    <mergeCell ref="C24:G24"/>
    <mergeCell ref="C25:G25"/>
    <mergeCell ref="B10:G10"/>
    <mergeCell ref="C11:G11"/>
    <mergeCell ref="C12:G12"/>
    <mergeCell ref="C13:G13"/>
    <mergeCell ref="C14:G14"/>
    <mergeCell ref="C15:G15"/>
    <mergeCell ref="A11:A25"/>
    <mergeCell ref="C23:G23"/>
    <mergeCell ref="C22:G22"/>
    <mergeCell ref="C21:G21"/>
    <mergeCell ref="A1:M1"/>
    <mergeCell ref="L3:M3"/>
    <mergeCell ref="K5:M5"/>
    <mergeCell ref="L6:M6"/>
    <mergeCell ref="L7:M7"/>
    <mergeCell ref="H10:K10"/>
    <mergeCell ref="L10:M10"/>
    <mergeCell ref="C16:G16"/>
    <mergeCell ref="C17:G17"/>
    <mergeCell ref="C18:G18"/>
    <mergeCell ref="H28:M28"/>
  </mergeCells>
  <conditionalFormatting sqref="K26">
    <cfRule type="expression" dxfId="1" priority="1">
      <formula>M8="g"</formula>
    </cfRule>
  </conditionalFormatting>
  <conditionalFormatting sqref="J26">
    <cfRule type="expression" dxfId="1" priority="2">
      <formula>M8="g"</formula>
    </cfRule>
  </conditionalFormatting>
  <conditionalFormatting sqref="J11:K25">
    <cfRule type="expression" dxfId="2" priority="3">
      <formula>$M$8="g"</formula>
    </cfRule>
  </conditionalFormatting>
  <conditionalFormatting sqref="J12:J18">
    <cfRule type="expression" dxfId="2" priority="4">
      <formula>M8="g"</formula>
    </cfRule>
  </conditionalFormatting>
  <conditionalFormatting sqref="K11:K25">
    <cfRule type="expression" dxfId="2" priority="5">
      <formula>$M$8="g"</formula>
    </cfRule>
  </conditionalFormatting>
  <conditionalFormatting sqref="J14:J15">
    <cfRule type="expression" dxfId="2" priority="6">
      <formula>M8="g"</formula>
    </cfRule>
  </conditionalFormatting>
  <conditionalFormatting sqref="J13">
    <cfRule type="expression" dxfId="2" priority="7">
      <formula>M8="g"</formula>
    </cfRule>
  </conditionalFormatting>
  <conditionalFormatting sqref="J16">
    <cfRule type="expression" dxfId="2" priority="8">
      <formula>M8="g"</formula>
    </cfRule>
  </conditionalFormatting>
  <conditionalFormatting sqref="J17">
    <cfRule type="expression" dxfId="2" priority="9">
      <formula>M10="g"</formula>
    </cfRule>
  </conditionalFormatting>
  <conditionalFormatting sqref="J25">
    <cfRule type="expression" dxfId="2" priority="10">
      <formula>M8="G"</formula>
    </cfRule>
  </conditionalFormatting>
  <conditionalFormatting sqref="K19:K25">
    <cfRule type="expression" dxfId="2" priority="11">
      <formula>M9="G"</formula>
    </cfRule>
  </conditionalFormatting>
  <conditionalFormatting sqref="K19:K25">
    <cfRule type="expression" dxfId="2" priority="12">
      <formula>#REF!="G"</formula>
    </cfRule>
  </conditionalFormatting>
  <conditionalFormatting sqref="H26">
    <cfRule type="expression" dxfId="1" priority="13">
      <formula>M8="OZ"</formula>
    </cfRule>
  </conditionalFormatting>
  <conditionalFormatting sqref="I26">
    <cfRule type="expression" dxfId="1" priority="14">
      <formula>M8="OZ"</formula>
    </cfRule>
  </conditionalFormatting>
  <conditionalFormatting sqref="I11:I25">
    <cfRule type="expression" dxfId="2" priority="15">
      <formula>$M$8="OZ"</formula>
    </cfRule>
  </conditionalFormatting>
  <conditionalFormatting sqref="I18">
    <cfRule type="expression" dxfId="7" priority="16">
      <formula>M8="OZ"</formula>
    </cfRule>
  </conditionalFormatting>
  <conditionalFormatting sqref="I19:I24">
    <cfRule type="expression" dxfId="7" priority="17">
      <formula>$M$8="OZ"</formula>
    </cfRule>
  </conditionalFormatting>
  <conditionalFormatting sqref="I25">
    <cfRule type="expression" dxfId="2" priority="18">
      <formula>M8="OZ"</formula>
    </cfRule>
  </conditionalFormatting>
  <conditionalFormatting sqref="H11:I25">
    <cfRule type="expression" dxfId="2" priority="19">
      <formula>$M$8="OZ"</formula>
    </cfRule>
  </conditionalFormatting>
  <dataValidations>
    <dataValidation type="list" allowBlank="1" sqref="M4">
      <formula1>"LB,KG"</formula1>
    </dataValidation>
    <dataValidation type="list" allowBlank="1" showDropDown="1" sqref="J7 L7">
      <formula1>"1%,1.25%,1.5%,1.75%,2%,2.25%,2.5%,2.75%,3%,3.25%,3.5%,3.75%,4%,4.25%,4.5%,4.75%,5%,5.5%,6%,6.5%,7%,7.5%,8%,8.5%,9%,9.5%,10%"</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4" width="15.25"/>
    <col customWidth="1" min="5" max="6" width="1.88"/>
    <col customWidth="1" min="7" max="10" width="15.25"/>
  </cols>
  <sheetData>
    <row r="1">
      <c r="A1" s="201" t="str">
        <f>UPPER(CONCATENATE('Balanced Recipe'!A11," ANALYSIS"))</f>
        <v>BALANCED RECIPE ANALYSIS</v>
      </c>
    </row>
    <row r="2" ht="15.75" customHeight="1">
      <c r="A2" s="305"/>
      <c r="B2" s="284"/>
      <c r="E2" s="306"/>
      <c r="F2" s="306"/>
      <c r="G2" s="306"/>
      <c r="H2" s="284"/>
      <c r="I2" s="306"/>
      <c r="J2" s="306"/>
    </row>
    <row r="3">
      <c r="A3" s="307" t="s">
        <v>140</v>
      </c>
      <c r="B3" s="308"/>
      <c r="C3" s="177"/>
      <c r="D3" s="177"/>
      <c r="E3" s="309"/>
      <c r="F3" s="309"/>
      <c r="G3" s="309"/>
      <c r="H3" s="308"/>
      <c r="I3" s="310" t="s">
        <v>141</v>
      </c>
      <c r="J3" s="177"/>
    </row>
    <row r="4">
      <c r="A4" s="307" t="s">
        <v>142</v>
      </c>
      <c r="B4" s="308"/>
      <c r="C4" s="177"/>
      <c r="D4" s="177"/>
      <c r="E4" s="309"/>
      <c r="F4" s="309"/>
      <c r="G4" s="309"/>
      <c r="H4" s="308"/>
      <c r="I4" s="311" t="str">
        <f>upper(IF('Balanced Recipe Data'!D7="Dog","Canine",IF('Balanced Recipe Data'!D7="Cat","Feline"," ")))</f>
        <v>CANINE</v>
      </c>
      <c r="J4" s="177"/>
    </row>
    <row r="5">
      <c r="A5" s="312" t="s">
        <v>122</v>
      </c>
      <c r="B5" s="313"/>
      <c r="C5" s="179"/>
      <c r="D5" s="179"/>
      <c r="E5" s="314"/>
      <c r="F5" s="314"/>
      <c r="G5" s="314"/>
      <c r="H5" s="313"/>
      <c r="I5" s="315" t="s">
        <v>143</v>
      </c>
      <c r="J5" s="179"/>
    </row>
    <row r="6">
      <c r="A6" s="312" t="s">
        <v>144</v>
      </c>
      <c r="B6" s="313"/>
      <c r="C6" s="179"/>
      <c r="D6" s="179"/>
      <c r="E6" s="179"/>
      <c r="F6" s="313"/>
      <c r="G6" s="313"/>
      <c r="H6" s="313"/>
      <c r="I6" s="177"/>
      <c r="J6" s="316">
        <f>'Balanced Recipe'!L6</f>
        <v>1000</v>
      </c>
    </row>
    <row r="7" ht="15.75" customHeight="1">
      <c r="A7" s="284"/>
      <c r="B7" s="284"/>
      <c r="C7" s="284"/>
      <c r="D7" s="284"/>
      <c r="E7" s="284"/>
      <c r="F7" s="284"/>
      <c r="G7" s="284"/>
      <c r="H7" s="284"/>
      <c r="I7" s="284"/>
      <c r="J7" s="284"/>
    </row>
    <row r="8">
      <c r="A8" s="317" t="s">
        <v>145</v>
      </c>
      <c r="B8" s="318"/>
      <c r="C8" s="319" t="s">
        <v>146</v>
      </c>
      <c r="D8" s="320"/>
      <c r="E8" s="321"/>
      <c r="F8" s="319"/>
      <c r="G8" s="322" t="s">
        <v>147</v>
      </c>
      <c r="H8" s="323"/>
      <c r="I8" s="322" t="s">
        <v>148</v>
      </c>
      <c r="J8" s="323"/>
    </row>
    <row r="9">
      <c r="A9" s="324" t="s">
        <v>149</v>
      </c>
      <c r="B9" s="325"/>
      <c r="C9" s="326">
        <f>sum('Balanced Recipe Data'!F22)/('Balanced Recipe Data'!F21/'Balanced Recipe'!L6)</f>
        <v>108.4428019</v>
      </c>
      <c r="D9" s="327" t="s">
        <v>36</v>
      </c>
      <c r="E9" s="328"/>
      <c r="F9" s="328"/>
      <c r="G9" s="329">
        <f>if(and(I5="Adult Maintenance",I4="Canine"),sum((20/1000)*'Balanced Recipe'!L6),if(and(I5="Growth &amp; Development",I4="Canine"),sum((35/1000)*'Balanced Recipe'!L6),if(and(I5="Adult Maintenance",I4="Feline"),sum((40/1000)*'Balanced Recipe'!L6),if(and(I5="Growth &amp; Development",I4="Feline"),sum((40/1000)*'Balanced Recipe'!L6),if(and(I5="Gestation &amp; Lactation",I4="Canine"),sum(( 50/1000)*'Balanced Recipe'!L6),
if(and(I5="Gestation &amp; Lactation",I4="Feline"),sum((40/1000)*'Balanced Recipe'!L6),""))))))</f>
        <v>20</v>
      </c>
      <c r="H9" s="329" t="str">
        <f t="shared" ref="H9:H22" si="1">D9</f>
        <v>g</v>
      </c>
      <c r="I9" s="329">
        <f>if(and(I5="Adult Maintenance",I4="Canine"),sum((25/1000)*'Balanced Recipe'!L6),if(and(I5="Growth &amp; Development",I4="Canine"),sum((43.8/1000)*'Balanced Recipe'!L6),if(and(I5="Adult Maintenance",I4="Feline"),sum((50/1000)*'Balanced Recipe'!L6),if(and(I5="Growth &amp; Development",I4="Feline"),sum((50/1000)*'Balanced Recipe'!L6),if(and(I5="Gestation &amp; Lactation",I4="Canine"),sum(( 50/1000)*'Balanced Recipe'!L6),
if(and(I5="Gestation &amp; Lactation",I4="Feline"),sum(( 50/1000)*'Balanced Recipe'!L6),""))))))</f>
        <v>25</v>
      </c>
      <c r="J9" s="329" t="str">
        <f t="shared" ref="J9:J22" si="2">H9</f>
        <v>g</v>
      </c>
    </row>
    <row r="10">
      <c r="A10" s="330" t="s">
        <v>150</v>
      </c>
      <c r="B10" s="331"/>
      <c r="C10" s="332">
        <f>sum('Balanced Recipe Data'!I50)/('Balanced Recipe Data'!F21/'Balanced Recipe'!L6)</f>
        <v>7.255704623</v>
      </c>
      <c r="D10" s="333" t="s">
        <v>36</v>
      </c>
      <c r="E10" s="334"/>
      <c r="F10" s="334"/>
      <c r="G10" s="335">
        <f>if(and(I5="Adult Maintenance",I4="Canine"),sum((0.7/1000)*'Balanced Recipe'!L6),if(and(I5="Growth &amp; Development",I4="Canine"),sum((1.33/1000)*'Balanced Recipe'!L6),if(and(I5="Adult Maintenance",I4="Feline"),sum((1.93/1000)*'Balanced Recipe'!L6),if(and(I5="Growth &amp; Development",I4="Feline"),sum((1.93/1000)*'Balanced Recipe'!L6),if(and(I5="Gestation &amp; Lactation",I4="Canine"),sum((2.5/1000)*'Balanced Recipe'!L6),
if(and(I5="Gestation &amp; Lactation",I4="Feline"),sum(( 1.93/1000)*'Balanced Recipe'!L6),""))))))</f>
        <v>0.7</v>
      </c>
      <c r="H10" s="336" t="str">
        <f t="shared" si="1"/>
        <v>g</v>
      </c>
      <c r="I10" s="335">
        <f>if(and(I5="Adult Maintenance",I4="Canine"),sum((0.88/1000)*'Balanced Recipe'!L6),if(and(I5="Growth &amp; Development",I4="Canine"),sum((1.65/1000)*'Balanced Recipe'!L6),if(and(I5="Adult Maintenance",I4="Feline"),sum((1.93/1000)*'Balanced Recipe'!L6),if(and(I5="Growth &amp; Development",I4="Feline"),sum((1.93/1000)*'Balanced Recipe'!L6),if(and(I5="Gestation &amp; Lactation",I4="Canine"),sum(( 2.5/1000)*'Balanced Recipe'!L6),
if(and(I5="Gestation &amp; Lactation",I4="Feline"),sum(( 1.93/1000)*'Balanced Recipe'!L6),""))))))</f>
        <v>0.88</v>
      </c>
      <c r="J10" s="336" t="str">
        <f t="shared" si="2"/>
        <v>g</v>
      </c>
    </row>
    <row r="11">
      <c r="A11" s="337" t="s">
        <v>151</v>
      </c>
      <c r="B11" s="338"/>
      <c r="C11" s="339">
        <f>sum('Balanced Recipe Data'!I51)/('Balanced Recipe Data'!F21/'Balanced Recipe'!L6)</f>
        <v>3.158130387</v>
      </c>
      <c r="D11" s="340" t="s">
        <v>36</v>
      </c>
      <c r="E11" s="341"/>
      <c r="F11" s="341"/>
      <c r="G11" s="342">
        <f>if(and(I5="Adult Maintenance",I4="Canine"),sum((0.37/1000)*'Balanced Recipe'!L6),if(and(I5="Growth &amp; Development",I4="Canine"),sum((0.5/1000)*'Balanced Recipe'!L6),if(and(I5="Adult Maintenance",I4="Feline"),sum((0.65/1000)*'Balanced Recipe'!L6),if(and(I5="Growth &amp; Development",I4="Feline"),sum((0.65/1000)*'Balanced Recipe'!L6),if(and(I5="Gestation &amp; Lactation",I4="Canine"),sum(( 1.1/1000)*'Balanced Recipe'!L6),
if(and(I5="Gestation &amp; Lactation",I4="Feline"),sum(( 0.65/1000)*'Balanced Recipe'!L6),""))))))</f>
        <v>0.37</v>
      </c>
      <c r="H11" s="343" t="str">
        <f t="shared" si="1"/>
        <v>g</v>
      </c>
      <c r="I11" s="342">
        <f>if(and(I5="Adult Maintenance",I4="Canine"),sum((0.48/1000)*'Balanced Recipe'!L6),if(and(I5="Growth &amp; Development",I4="Canine"),sum((0.63/1000)*'Balanced Recipe'!L6),if(and(I5="Adult Maintenance",I4="Feline"),sum((0.65/1000)*'Balanced Recipe'!L6),if(and(I5="Growth &amp; Development",I4="Feline"),sum((0.65/1000)*'Balanced Recipe'!L6),if(and(I5="Gestation &amp; Lactation",I4="Canine"),sum(( 1.1/1000)*'Balanced Recipe'!L6),
if(and(I5="Gestation &amp; Lactation",I4="Feline"),sum(( 0.65/1000)*'Balanced Recipe'!L6),""))))))</f>
        <v>0.48</v>
      </c>
      <c r="J11" s="343" t="str">
        <f t="shared" si="2"/>
        <v>g</v>
      </c>
    </row>
    <row r="12">
      <c r="A12" s="330" t="s">
        <v>152</v>
      </c>
      <c r="B12" s="331"/>
      <c r="C12" s="332">
        <f>sum('Balanced Recipe Data'!I52)/('Balanced Recipe Data'!F21/'Balanced Recipe'!L6)</f>
        <v>5.146953004</v>
      </c>
      <c r="D12" s="333" t="s">
        <v>36</v>
      </c>
      <c r="E12" s="334"/>
      <c r="F12" s="334"/>
      <c r="G12" s="335">
        <f>if(and(I5="Adult Maintenance",I4="Canine"),sum((0.75/1000)*'Balanced Recipe'!L6),if(and(I5="Growth &amp; Development",I4="Canine"),sum((1/1000)*'Balanced Recipe'!L6),if(and(I5="Adult Maintenance",I4="Feline"),sum((1.08/1000)*'Balanced Recipe'!L6),if(and(I5="Growth &amp; Development",I4="Feline"),sum((1.08/1000)*'Balanced Recipe'!L6),if(and(I5="Gestation &amp; Lactation",I4="Canine"),sum(( 1.78/1000)*'Balanced Recipe'!L6),
if(and(I5="Gestation &amp; Lactation",I4="Feline"),sum(( 1.08/1000)*'Balanced Recipe'!L6),""))))))</f>
        <v>0.75</v>
      </c>
      <c r="H12" s="336" t="str">
        <f t="shared" si="1"/>
        <v>g</v>
      </c>
      <c r="I12" s="335">
        <f>if(and(I5="Adult Maintenance",I4="Canine"),sum((0.95/1000)*'Balanced Recipe'!L6),if(and(I5="Growth &amp; Development",I4="Canine"),sum((1.25/1000)*'Balanced Recipe'!L6),if(and(I5="Adult Maintenance",I4="Feline"),sum((1.08/1000)*'Balanced Recipe'!L6),if(and(I5="Growth &amp; Development",I4="Feline"),sum((1.08/1000)*'Balanced Recipe'!L6),if(and(I5="Gestation &amp; Lactation",I4="Canine"),sum(( 1.78/1000)*'Balanced Recipe'!L6),
if(and(I5="Gestation &amp; Lactation",I4="Feline"),sum(( 1.08/1000)*'Balanced Recipe'!L6),""))))))</f>
        <v>0.95</v>
      </c>
      <c r="J12" s="336" t="str">
        <f t="shared" si="2"/>
        <v>g</v>
      </c>
    </row>
    <row r="13">
      <c r="A13" s="337" t="s">
        <v>153</v>
      </c>
      <c r="B13" s="338"/>
      <c r="C13" s="339">
        <f>sum('Balanced Recipe Data'!I53)/('Balanced Recipe Data'!F21/'Balanced Recipe'!L6)</f>
        <v>2.828325631</v>
      </c>
      <c r="D13" s="340" t="s">
        <v>36</v>
      </c>
      <c r="E13" s="341"/>
      <c r="F13" s="341"/>
      <c r="G13" s="342">
        <f>if(and(I5="Adult Maintenance",I4="Canine"),sum((0.65/1000)*'Balanced Recipe'!L6),if(and(I5="Growth &amp; Development",I4="Canine"),sum((0.53/1000)*'Balanced Recipe'!L6),if(and(I5="Adult Maintenance",I4="Feline"),sum((0.34/1000)*'Balanced Recipe'!L6),if(and(I5="Growth &amp; Development",I4="Feline"),sum((0.34/1000)*'Balanced Recipe'!L6),if(and(I5="Gestation &amp; Lactation",I4="Canine"),sum(( 0.78/1000)*'Balanced Recipe'!L6),
if(and(I5="Gestation &amp; Lactation",I4="Feline"),sum((0.34/1000)*'Balanced Recipe'!L6),""))))))</f>
        <v>0.65</v>
      </c>
      <c r="H13" s="343" t="str">
        <f t="shared" si="1"/>
        <v>g</v>
      </c>
      <c r="I13" s="342">
        <f>if(and(I5="Adult Maintenance",I4="Canine"),sum((0.83/1000)*'Balanced Recipe'!L6),if(and(I5="Growth &amp; Development",I4="Canine"),sum((0.65/1000)*'Balanced Recipe'!L6),if(and(I5="Adult Maintenance",I4="Feline"),sum((0.43/1000)*'Balanced Recipe'!L6),if(and(I5="Growth &amp; Development",I4="Feline"),sum((0.43/1000)*'Balanced Recipe'!L6),if(and(I5="Gestation &amp; Lactation",I4="Canine"),sum(( 0.78/1000)*'Balanced Recipe'!L6),
if(and(I5="Gestation &amp; Lactation",I4="Feline"),sum(( 0.43/1000)*'Balanced Recipe'!L6),""))))))</f>
        <v>0.83</v>
      </c>
      <c r="J13" s="343" t="str">
        <f t="shared" si="2"/>
        <v>g</v>
      </c>
    </row>
    <row r="14">
      <c r="A14" s="330" t="s">
        <v>154</v>
      </c>
      <c r="B14" s="331"/>
      <c r="C14" s="332">
        <f>sum('Balanced Recipe Data'!I55)/('Balanced Recipe Data'!F21/'Balanced Recipe'!L6)</f>
        <v>4.297455906</v>
      </c>
      <c r="D14" s="333" t="s">
        <v>36</v>
      </c>
      <c r="E14" s="334"/>
      <c r="F14" s="334"/>
      <c r="G14" s="335">
        <f>if(and(I5="Adult Maintenance",I4="Canine"),sum((1.3/1000)*'Balanced Recipe'!L6),if(and(I5="Growth &amp; Development",I4="Canine"),sum((1.05/1000)*'Balanced Recipe'!L6),if(and(I5="Adult Maintenance",I4="Feline"),sum((0.68/1000)*'Balanced Recipe'!L6),if(and(I5="Growth &amp; Development",I4="Feline"),sum((0.68/1000)*'Balanced Recipe'!L6),if(and(I5="Gestation &amp; Lactation",I4="Canine"),sum(( 1.55/1000)*'Balanced Recipe'!L6),
if(and(I5="Gestation &amp; Lactation",I4="Feline"),sum((0.68/1000)*'Balanced Recipe'!L6),""))))))</f>
        <v>1.3</v>
      </c>
      <c r="H14" s="336" t="str">
        <f t="shared" si="1"/>
        <v>g</v>
      </c>
      <c r="I14" s="335">
        <f>if(and(I5="Adult Maintenance",I4="Canine"),sum((1.63/1000)*'Balanced Recipe'!L6),if(and(I5="Growth &amp; Development",I4="Canine"),sum((1.33/1000)*'Balanced Recipe'!L6),if(and(I5="Adult Maintenance",I4="Feline"),sum((0.85/1000)*'Balanced Recipe'!L6),if(and(I5="Growth &amp; Development",I4="Feline"),sum((0.85/1000)*'Balanced Recipe'!L6),if(and(I5="Gestation &amp; Lactation",I4="Canine"),sum(( 1.55/1000)*'Balanced Recipe'!L6),
if(and(I5="Gestation &amp; Lactation",I4="Feline"),sum(( 0.85/1000)*'Balanced Recipe'!L6),""))))))</f>
        <v>1.63</v>
      </c>
      <c r="J14" s="336" t="str">
        <f t="shared" si="2"/>
        <v>g</v>
      </c>
    </row>
    <row r="15">
      <c r="A15" s="337" t="s">
        <v>155</v>
      </c>
      <c r="B15" s="338"/>
      <c r="C15" s="339">
        <f>sum('Balanced Recipe Data'!I56)/('Balanced Recipe Data'!F21/'Balanced Recipe'!L6)</f>
        <v>9.07462782</v>
      </c>
      <c r="D15" s="340" t="s">
        <v>36</v>
      </c>
      <c r="E15" s="341"/>
      <c r="F15" s="341"/>
      <c r="G15" s="342">
        <f>if(and(I5="Adult Maintenance",I4="Canine"),sum((1.35/1000)*'Balanced Recipe'!L6),if(and(I5="Growth &amp; Development",I4="Canine"),sum((1.63/1000)*'Balanced Recipe'!L6),if(and(I5="Adult Maintenance",I4="Feline"),sum((2.55/1000)*'Balanced Recipe'!L6),if(and(I5="Growth &amp; Development",I4="Feline"),sum((2.55/1000)*'Balanced Recipe'!L6),if(and(I5="Gestation &amp; Lactation",I4="Canine"),sum((5/1000)*'Balanced Recipe'!L6),
if(and(I5="Gestation &amp; Lactation",I4="Feline"),sum((2.55/1000)*'Balanced Recipe'!L6),""))))))</f>
        <v>1.35</v>
      </c>
      <c r="H15" s="343" t="str">
        <f t="shared" si="1"/>
        <v>g</v>
      </c>
      <c r="I15" s="342">
        <f>if(and(I5="Adult Maintenance",I4="Canine"),sum((1.7/1000)*'Balanced Recipe'!L6),if(and(I5="Growth &amp; Development",I4="Canine"),sum((2.05/1000)*'Balanced Recipe'!L6),if(and(I5="Adult Maintenance",I4="Feline"),sum((2.55/1000)*'Balanced Recipe'!L6),if(and(I5="Growth &amp; Development",I4="Feline"),sum((2.55/1000)*'Balanced Recipe'!L6),if(and(I5="Gestation &amp; Lactation",I4="Canine"),sum(( 5/1000)*'Balanced Recipe'!L6),
if(and(I5="Gestation &amp; Lactation",I4="Feline"),sum(( 2.55/1000)*'Balanced Recipe'!L6),""))))))</f>
        <v>1.7</v>
      </c>
      <c r="J15" s="343" t="str">
        <f t="shared" si="2"/>
        <v>g</v>
      </c>
    </row>
    <row r="16">
      <c r="A16" s="330" t="s">
        <v>156</v>
      </c>
      <c r="B16" s="331"/>
      <c r="C16" s="332">
        <f>sum('Balanced Recipe Data'!I57)/('Balanced Recipe Data'!F21/'Balanced Recipe'!L6)</f>
        <v>10.00407759</v>
      </c>
      <c r="D16" s="333" t="s">
        <v>36</v>
      </c>
      <c r="E16" s="334"/>
      <c r="F16" s="334"/>
      <c r="G16" s="335">
        <f>if(and(I5="Adult Maintenance",I4="Canine"),sum((0.7/1000)*'Balanced Recipe'!L6),if(and(I5="Growth &amp; Development",I4="Canine"),sum((1.4/1000)*'Balanced Recipe'!L6),if(and(I5="Adult Maintenance",I4="Feline"),sum((0.68/1000)*'Balanced Recipe'!L6),if(and(I5="Growth &amp; Development",I4="Feline"),sum((0.68/1000)*'Balanced Recipe'!L6),if(and(I5="Gestation &amp; Lactation",I4="Canine"),sum(( 2.25/1000)*'Balanced Recipe'!L6),
if(and(I5="Gestation &amp; Lactation",I4="Feline"),sum((0.68/1000)*'Balanced Recipe'!L6),""))))))</f>
        <v>0.7</v>
      </c>
      <c r="H16" s="336" t="str">
        <f t="shared" si="1"/>
        <v>g</v>
      </c>
      <c r="I16" s="335">
        <f>if(and(I5="Adult Maintenance",I4="Canine"),sum((0.88/1000)*'Balanced Recipe'!L6),if(and(I5="Growth &amp; Development",I4="Canine"),sum((1.75/1000)*'Balanced Recipe'!L6),if(and(I5="Adult Maintenance",I4="Feline"),sum((0.85/1000)*'Balanced Recipe'!L6),if(and(I5="Growth &amp; Development",I4="Feline"),sum((0.85/1000)*'Balanced Recipe'!L6),if(and(I5="Gestation &amp; Lactation",I4="Canine"),sum(( 2.25/1000)*'Balanced Recipe'!L6),
if(and(I5="Gestation &amp; Lactation",I4="Feline"),sum(( 0.85/1000)*'Balanced Recipe'!L6),""))))))</f>
        <v>0.88</v>
      </c>
      <c r="J16" s="336" t="str">
        <f t="shared" si="2"/>
        <v>g</v>
      </c>
    </row>
    <row r="17">
      <c r="A17" s="337" t="s">
        <v>157</v>
      </c>
      <c r="B17" s="338"/>
      <c r="C17" s="339">
        <f>sum('Balanced Recipe Data'!I58)/('Balanced Recipe Data'!F21/'Balanced Recipe'!L6)</f>
        <v>4.787165998</v>
      </c>
      <c r="D17" s="340" t="s">
        <v>36</v>
      </c>
      <c r="E17" s="341"/>
      <c r="F17" s="341"/>
      <c r="G17" s="342">
        <f>if(and(I5="Adult Maintenance",I4="Canine"),sum((0.9/1000)*'Balanced Recipe'!L6),if(and(I5="Growth &amp; Development",I4="Canine"),sum((1/1000)*'Balanced Recipe'!L6),if(and(I5="Adult Maintenance",I4="Feline"),sum((1/1000)*'Balanced Recipe'!L6),if(and(I5="Growth &amp; Development",I4="Feline"),sum((1/1000)*'Balanced Recipe'!L6),if(and(I5="Gestation &amp; Lactation",I4="Canine"),sum(( 2.08/1000)*'Balanced Recipe'!L6),
if(and(I5="Gestation &amp; Lactation",I4="Feline"),sum(( 1/1000)*'Balanced Recipe'!L6),""))))))</f>
        <v>0.9</v>
      </c>
      <c r="H17" s="343" t="str">
        <f t="shared" si="1"/>
        <v>g</v>
      </c>
      <c r="I17" s="342">
        <f>if(and(I5="Adult Maintenance",I4="Canine"),sum((1.13/1000)*'Balanced Recipe'!L6),if(and(I5="Growth &amp; Development",I4="Canine"),sum((1.25/1000)*'Balanced Recipe'!L6),if(and(I5="Adult Maintenance",I4="Feline"),sum((1/1000)*'Balanced Recipe'!L6),if(and(I5="Growth &amp; Development",I4="Feline"),sum((1/1000)*'Balanced Recipe'!L6),if(and(I5="Gestation &amp; Lactation",I4="Canine"),sum(( 2.08/1000)*'Balanced Recipe'!L6),
if(and(I5="Gestation &amp; Lactation",I4="Feline"),sum(( 1/1000)*'Balanced Recipe'!L6),""))))))</f>
        <v>1.13</v>
      </c>
      <c r="J17" s="343" t="str">
        <f t="shared" si="2"/>
        <v>g</v>
      </c>
    </row>
    <row r="18">
      <c r="A18" s="330" t="s">
        <v>158</v>
      </c>
      <c r="B18" s="331"/>
      <c r="C18" s="332">
        <f>sum('Balanced Recipe Data'!I60)/('Balanced Recipe Data'!F21/'Balanced Recipe'!L6)</f>
        <v>8.904728401</v>
      </c>
      <c r="D18" s="333" t="s">
        <v>36</v>
      </c>
      <c r="E18" s="334"/>
      <c r="F18" s="334"/>
      <c r="G18" s="335">
        <f>if(and(I5="Adult Maintenance",I4="Canine"),sum((1.48/1000)*'Balanced Recipe'!L6),if(and(I5="Growth &amp; Development",I4="Canine"),sum((2/1000)*'Balanced Recipe'!L6),if(and(I5="Adult Maintenance",I4="Feline"),sum((3.83/1000)*'Balanced Recipe'!L6),if(and(I5="Growth &amp; Development",I4="Feline"),sum((3.83/1000)*'Balanced Recipe'!L6),if(and(I5="Gestation &amp; Lactation",I4="Canine"),sum(( 3.08/1000)*'Balanced Recipe'!L6),
if(and(I5="Gestation &amp; Lactation",I4="Feline"),sum(( 3.83/1000)*'Balanced Recipe'!L6),""))))))</f>
        <v>1.48</v>
      </c>
      <c r="H18" s="336" t="str">
        <f t="shared" si="1"/>
        <v>g</v>
      </c>
      <c r="I18" s="335">
        <f>if(and(I5="Adult Maintenance",I4="Canine"),sum((1.85/1000)*'Balanced Recipe'!L6),if(and(I5="Growth &amp; Development",I4="Canine"),sum((2.5/1000)*'Balanced Recipe'!L6),if(and(I5="Adult Maintenance",I4="Feline"),sum((3.83/1000)*'Balanced Recipe'!L6),if(and(I5="Growth &amp; Development",I4="Feline"),sum((3.83/1000)*'Balanced Recipe'!L6),if(and(I5="Gestation &amp; Lactation",I4="Canine"),sum(( 3.08/1000)*'Balanced Recipe'!L6),
if(and(I5="Gestation &amp; Lactation",I4="Feline"),sum(( 3.83/1000)*'Balanced Recipe'!L6),""))))))</f>
        <v>1.85</v>
      </c>
      <c r="J18" s="336" t="str">
        <f t="shared" si="2"/>
        <v>g</v>
      </c>
    </row>
    <row r="19">
      <c r="A19" s="337" t="s">
        <v>159</v>
      </c>
      <c r="B19" s="338"/>
      <c r="C19" s="339">
        <f>sum('Balanced Recipe Data'!I61)/('Balanced Recipe Data'!F21/'Balanced Recipe'!L6)</f>
        <v>5.096982586</v>
      </c>
      <c r="D19" s="340" t="s">
        <v>36</v>
      </c>
      <c r="E19" s="341"/>
      <c r="F19" s="341"/>
      <c r="G19" s="342">
        <f>if(and(I5="Adult Maintenance",I4="Canine"),sum((0.85/1000)*'Balanced Recipe'!L6),if(and(I5="Growth &amp; Development",I4="Canine"),sum((1.25/1000)*'Balanced Recipe'!L6),if(and(I5="Adult Maintenance",I4="Feline"),sum((1.3/1000)*'Balanced Recipe'!L6),if(and(I5="Growth &amp; Development",I4="Feline"),sum((1.3/1000)*'Balanced Recipe'!L6),if(and(I5="Gestation &amp; Lactation",I4="Canine"),sum(( 2.6/1000)*'Balanced Recipe'!L6),
if(and(I5="Gestation &amp; Lactation",I4="Feline"),sum(( 1.3/1000)*'Balanced Recipe'!L6),""))))))</f>
        <v>0.85</v>
      </c>
      <c r="H19" s="343" t="str">
        <f t="shared" si="1"/>
        <v>g</v>
      </c>
      <c r="I19" s="342">
        <f>if(and(I5="Adult Maintenance",I4="Canine"),sum((1.08/1000)*'Balanced Recipe'!L6),if(and(I5="Growth &amp; Development",I4="Canine"),sum((1.58/1000)*'Balanced Recipe'!L6),if(and(I5="Adult Maintenance",I4="Feline"),sum((1.3/1000)*'Balanced Recipe'!L6),if(and(I5="Growth &amp; Development",I4="Feline"),sum((1.3/1000)*'Balanced Recipe'!L6),if(and(I5="Gestation &amp; Lactation",I4="Canine"),sum(( 2.6/1000)*'Balanced Recipe'!L6),
if(and(I5="Gestation &amp; Lactation",I4="Feline"),sum(( 1.3/1000)*'Balanced Recipe'!L6),""))))))</f>
        <v>1.08</v>
      </c>
      <c r="J19" s="343" t="str">
        <f t="shared" si="2"/>
        <v>g</v>
      </c>
    </row>
    <row r="20">
      <c r="A20" s="330" t="s">
        <v>160</v>
      </c>
      <c r="B20" s="331"/>
      <c r="C20" s="332">
        <f>sum('Balanced Recipe Data'!I62)/('Balanced Recipe Data'!F21/'Balanced Recipe'!L6)</f>
        <v>1.509106609</v>
      </c>
      <c r="D20" s="333" t="s">
        <v>36</v>
      </c>
      <c r="E20" s="334"/>
      <c r="F20" s="334"/>
      <c r="G20" s="335">
        <f>if(and(I5="Adult Maintenance",I4="Canine"),sum((0.28/1000)*'Balanced Recipe'!L6),if(and(I5="Growth &amp; Development",I4="Canine"),sum((0.35/1000)*'Balanced Recipe'!L6),if(and(I5="Adult Maintenance",I4="Feline"),sum((0.33/1000)*'Balanced Recipe'!L6),if(and(I5="Growth &amp; Development",I4="Feline"),sum((0.33/1000)*'Balanced Recipe'!L6),if(and(I5="Gestation &amp; Lactation",I4="Canine"),sum(( 0.3/1000)*'Balanced Recipe'!L6),
if(and(I5="Gestation &amp; Lactation",I4="Feline"),sum(( 0.33/1000)*'Balanced Recipe'!L6),""))))))</f>
        <v>0.28</v>
      </c>
      <c r="H20" s="336" t="str">
        <f t="shared" si="1"/>
        <v>g</v>
      </c>
      <c r="I20" s="335">
        <f>if(and(I5="Adult Maintenance",I4="Canine"),sum((0.35/1000)*'Balanced Recipe'!L6),if(and(I5="Growth &amp; Development",I4="Canine"),sum((0.45/1000)*'Balanced Recipe'!L6),if(and(I5="Adult Maintenance",I4="Feline"),sum((0.33/1000)*'Balanced Recipe'!L6),if(and(I5="Growth &amp; Development",I4="Feline"),sum((0.33/1000)*'Balanced Recipe'!L6),if(and(I5="Gestation &amp; Lactation",I4="Canine"),sum(( 0.3/1000)*'Balanced Recipe'!L6),
if(and(I5="Gestation &amp; Lactation",I4="Feline"),sum(( 0.33/1000)*'Balanced Recipe'!L6),""))))))</f>
        <v>0.35</v>
      </c>
      <c r="J20" s="336" t="str">
        <f t="shared" si="2"/>
        <v>g</v>
      </c>
    </row>
    <row r="21">
      <c r="A21" s="344" t="s">
        <v>161</v>
      </c>
      <c r="B21" s="345"/>
      <c r="C21" s="339">
        <f>sum('Balanced Recipe Data'!I63)/('Balanced Recipe Data'!F21/'Balanced Recipe'!L6)</f>
        <v>5.656651262</v>
      </c>
      <c r="D21" s="340" t="s">
        <v>36</v>
      </c>
      <c r="E21" s="341"/>
      <c r="F21" s="341"/>
      <c r="G21" s="342">
        <f>if(and(I5="Adult Maintenance",I4="Canine"),sum((0.98/1000)*'Balanced Recipe'!L6),if(and(I5="Growth &amp; Development",I4="Canine"),sum((1.13/1000)*'Balanced Recipe'!L6),if(and(I5="Adult Maintenance",I4="Feline"),sum((1.28/1000)*'Balanced Recipe'!L6),if(and(I5="Growth &amp; Development",I4="Feline"),sum((1.28/1000)*'Balanced Recipe'!L6),if(and(I5="Gestation &amp; Lactation",I4="Canine"),sum(( 3.25/1000)*'Balanced Recipe'!L6),
if(and(I5="Gestation &amp; Lactation",I4="Feline"),sum(( 1.28/1000)*'Balanced Recipe'!L6),""))))))</f>
        <v>0.98</v>
      </c>
      <c r="H21" s="343" t="str">
        <f t="shared" si="1"/>
        <v>g</v>
      </c>
      <c r="I21" s="342">
        <f>if(and(I5="Adult Maintenance",I4="Canine"),sum((1.23/1000)*'Balanced Recipe'!L6),if(and(I5="Growth &amp; Development",I4="Canine"),sum((1.4/1000)*'Balanced Recipe'!L6),if(and(I5="Adult Maintenance",I4="Feline"),sum((1.28/1000)*'Balanced Recipe'!L6),if(and(I5="Growth &amp; Development",I4="Feline"),sum((1.28/1000)*'Balanced Recipe'!L6),if(and(I5="Gestation &amp; Lactation",I4="Canine"),sum(( 3.25/1000)*'Balanced Recipe'!L6),
if(and(I5="Gestation &amp; Lactation",I4="Feline"),sum(( 1.28/1000)*'Balanced Recipe'!L6),""))))))</f>
        <v>1.23</v>
      </c>
      <c r="J21" s="343" t="str">
        <f t="shared" si="2"/>
        <v>g</v>
      </c>
    </row>
    <row r="22">
      <c r="A22" s="346" t="s">
        <v>162</v>
      </c>
      <c r="B22" s="347"/>
      <c r="C22" s="348">
        <f>sum('Balanced Recipe Data'!I66)/('Balanced Recipe Data'!F21/'Balanced Recipe'!L6)</f>
        <v>0</v>
      </c>
      <c r="D22" s="349" t="s">
        <v>36</v>
      </c>
      <c r="E22" s="350"/>
      <c r="F22" s="350"/>
      <c r="G22" s="351">
        <f>if(and(I5="Adult Maintenance",I4="Feline"),sum((0.08/1000)*'Balanced Recipe'!L6),if(and(I5="Growth &amp; Development",I4="Feline"),sum((0.1/1000)*'Balanced Recipe'!L6),if(and(I5="Gestation &amp; Lactation",I4="Feline"),sum((0.08/1000)*'Balanced Recipe'!L6),0)))</f>
        <v>0</v>
      </c>
      <c r="H22" s="352" t="str">
        <f t="shared" si="1"/>
        <v>g</v>
      </c>
      <c r="I22" s="351">
        <f>if(and(I5="Adult Maintenance",I4="Feline"),sum((0.1/1000)*'Balanced Recipe'!L6),if(and(I5="Growth &amp; Development",I4="Feline"),sum((0.1/1000)*'Balanced Recipe'!L6),if(and(I5="Gestation &amp; Lactation",I4="Feline"),sum((0.1/1000)*'Balanced Recipe'!L6),0)))</f>
        <v>0</v>
      </c>
      <c r="J22" s="352" t="str">
        <f t="shared" si="2"/>
        <v>g</v>
      </c>
    </row>
    <row r="23">
      <c r="A23" s="317" t="s">
        <v>163</v>
      </c>
      <c r="B23" s="318"/>
      <c r="C23" s="353" t="s">
        <v>146</v>
      </c>
      <c r="D23" s="320"/>
      <c r="E23" s="354"/>
      <c r="F23" s="354"/>
      <c r="G23" s="353" t="s">
        <v>147</v>
      </c>
      <c r="H23" s="320"/>
      <c r="I23" s="353" t="s">
        <v>148</v>
      </c>
      <c r="J23" s="323"/>
    </row>
    <row r="24">
      <c r="A24" s="355" t="s">
        <v>164</v>
      </c>
      <c r="B24" s="356"/>
      <c r="C24" s="326">
        <f>sum('Balanced Recipe Data'!F23)/('Balanced Recipe Data'!F21/'Balanced Recipe'!L6)</f>
        <v>54.40479236</v>
      </c>
      <c r="D24" s="327" t="s">
        <v>36</v>
      </c>
      <c r="E24" s="328"/>
      <c r="F24" s="328"/>
      <c r="G24" s="329">
        <f>if(and(I5="Adult Maintenance",I4="Canine"),sum((10/1000)*'Balanced Recipe'!L6),if(and(I5="Growth &amp; Development",I4="Canine"),sum((21.3/1000)*'Balanced Recipe'!L6),if(and(I5="Adult Maintenance",I4="Feline"),sum((22.5/1000)*'Balanced Recipe'!L6),if(and(I5="Growth &amp; Development",I4="Feline"),sum((22.5/1000)*'Balanced Recipe'!L6),
if(and(I5="Gestation &amp; Lactation",I4="Canine"),sum(( 21.3/1000)*'Balanced Recipe'!L6),
if(and(I5="Gestation &amp; Lactation",I4="Feline"),sum(( 22.5/1000)*'Balanced Recipe'!L6),""))))))</f>
        <v>10</v>
      </c>
      <c r="H24" s="329" t="str">
        <f t="shared" ref="H24:H28" si="3">D24</f>
        <v>g</v>
      </c>
      <c r="I24" s="329">
        <f>if(and(I5="Adult Maintenance",I4="Canine"),sum((13.8/1000)*'Balanced Recipe'!L6),if(and(I5="Growth &amp; Development",I4="Canine"),sum((21.3/1000)*'Balanced Recipe'!L6),if(and(I5="Adult Maintenance",I4="Feline"),sum((22.5/1000)*'Balanced Recipe'!L6),if(and(I5="Growth &amp; Development",I4="Feline"),sum((22.5/1000)*'Balanced Recipe'!L6),
if(and(I5="Gestation &amp; Lactation",I4="Canine"),sum(( 21.3/1000)*'Balanced Recipe'!L6),
if(and(I5="Gestation &amp; Lactation",I4="Feline"),sum(( 22.5/1000)*'Balanced Recipe'!L6),""))))))</f>
        <v>13.8</v>
      </c>
      <c r="J24" s="329" t="str">
        <f t="shared" ref="J24:J28" si="4">H24</f>
        <v>g</v>
      </c>
    </row>
    <row r="25">
      <c r="A25" s="357" t="s">
        <v>165</v>
      </c>
      <c r="B25" s="358"/>
      <c r="C25" s="359">
        <f>sum('Balanced Recipe Data'!I69)/('Balanced Recipe Data'!F21/'Balanced Recipe'!L6)</f>
        <v>6.915905784</v>
      </c>
      <c r="D25" s="333" t="s">
        <v>36</v>
      </c>
      <c r="E25" s="360"/>
      <c r="F25" s="360"/>
      <c r="G25" s="336">
        <f>if(and(I5="Adult Maintenance",I4="Canine"),sum((2.4/1000)*'Balanced Recipe'!L6),if(and(I5="Growth &amp; Development",I4="Canine"),sum((3/1000)*'Balanced Recipe'!L6),if(and(I5="Adult Maintenance",I4="Feline"),sum((1.4/1000)*'Balanced Recipe'!L6),if(and(I5="Growth &amp; Development",I4="Feline"),sum((1.4/1000)*'Balanced Recipe'!L6),
if(and(I5="Gestation &amp; Lactation",I4="Canine"),sum(( 2.8/1000)*'Balanced Recipe'!L6),
if(and(I5="Gestation &amp; Lactation",I4="Feline"),sum(( 1.4/1000)*'Balanced Recipe'!L6),""))))))</f>
        <v>2.4</v>
      </c>
      <c r="H25" s="336" t="str">
        <f t="shared" si="3"/>
        <v>g</v>
      </c>
      <c r="I25" s="336">
        <f>if(and(I5="Adult Maintenance",I4="Canine"),sum((2.8/1000)*'Balanced Recipe'!L6),if(and(I5="Growth &amp; Development",I4="Canine"),sum((3.3/1000)*'Balanced Recipe'!L6),if(and(I5="Adult Maintenance",I4="Feline"),sum((1.4/1000)*'Balanced Recipe'!L6),if(and(I5="Growth &amp; Development",I4="Feline"),sum((1.4/1000)*'Balanced Recipe'!L6),
if(and(I5="Gestation &amp; Lactation",I4="Canine"),sum(( 3.3/1000)*'Balanced Recipe'!L6),
if(and(I5="Gestation &amp; Lactation",I4="Feline"),sum(( 1.4/1000)*'Balanced Recipe'!L6),""))))))</f>
        <v>2.8</v>
      </c>
      <c r="J25" s="336" t="str">
        <f t="shared" si="4"/>
        <v>g</v>
      </c>
    </row>
    <row r="26">
      <c r="A26" s="361" t="s">
        <v>166</v>
      </c>
      <c r="B26" s="362"/>
      <c r="C26" s="363">
        <f>sum('Balanced Recipe Data'!I70)/('Balanced Recipe Data'!F21/'Balanced Recipe'!L6)</f>
        <v>1.039384684</v>
      </c>
      <c r="D26" s="340" t="s">
        <v>36</v>
      </c>
      <c r="E26" s="364"/>
      <c r="F26" s="364"/>
      <c r="G26" s="343">
        <f>if(and(I5="Adult Maintenance",I4="Canine"),sum((0.09/1000)*'Balanced Recipe'!L6),if(and(I5="Growth &amp; Development",I4="Canine"),sum((0.18/1000)*'Balanced Recipe'!L6),if(and(I5="Adult Maintenance",I4="Feline"),sum((0/1000)*'Balanced Recipe'!L6),if(and(I5="Growth &amp; Development",I4="Feline"),sum((0/1000)*'Balanced Recipe'!L6),
if(and(I5="Gestation &amp; Lactation",I4="Canine"),sum(( 0.18/1000)*'Balanced Recipe'!L6),
if(and(I5="Gestation &amp; Lactation",I4="Feline"),sum(( 0/1000)*'Balanced Recipe'!L6),""))))))</f>
        <v>0.09</v>
      </c>
      <c r="H26" s="343" t="str">
        <f t="shared" si="3"/>
        <v>g</v>
      </c>
      <c r="I26" s="343">
        <f>if(and(I5="Adult Maintenance",I4="Canine"),sum((0.11/1000)*'Balanced Recipe'!L6),if(and(I5="Growth &amp; Development",I4="Canine"),sum((0.2/1000)*'Balanced Recipe'!L6),if(and(I5="Adult Maintenance",I4="Feline"),sum((0/1000)*'Balanced Recipe'!L6),if(and(I5="Growth &amp; Development",I4="Feline"),sum((0/1000)*'Balanced Recipe'!L6),
if(and(I5="Gestation &amp; Lactation",I4="Canine"),sum(( 1.2/1000)*'Balanced Recipe'!L6),
if(and(I5="Gestation &amp; Lactation",I4="Feline"),sum(( 0/1000)*'Balanced Recipe'!L6),""))))))</f>
        <v>0.11</v>
      </c>
      <c r="J26" s="343" t="str">
        <f t="shared" si="4"/>
        <v>g</v>
      </c>
    </row>
    <row r="27">
      <c r="A27" s="357" t="s">
        <v>167</v>
      </c>
      <c r="B27" s="358"/>
      <c r="C27" s="359">
        <f>sum('Balanced Recipe Data'!I71)/('Balanced Recipe Data'!F21/'Balanced Recipe'!L6)</f>
        <v>0.3597870061</v>
      </c>
      <c r="D27" s="333" t="s">
        <v>36</v>
      </c>
      <c r="E27" s="360"/>
      <c r="F27" s="360"/>
      <c r="G27" s="336">
        <f>if(and(I5="Adult Maintenance",I4="Canine"),sum((0/1000)*'Balanced Recipe'!L6),if(and(I5="Growth &amp; Development",I4="Canine"),sum((0.08/1000)*'Balanced Recipe'!L6),if(and(I5="Adult Maintenance",I4="Feline"),sum((0/1000)*'Balanced Recipe'!L6),if(and(I5="Growth &amp; Development",I4="Feline"),sum((0/1000)*'Balanced Recipe'!L6),
if(and(I5="Gestation &amp; Lactation",I4="Canine"),sum(( 0/1000)*'Balanced Recipe'!L6),
if(and(I5="Gestation &amp; Lactation",I4="Feline"),sum(( 0.005/1000)*'Balanced Recipe'!L6),""))))))</f>
        <v>0</v>
      </c>
      <c r="H27" s="336" t="str">
        <f t="shared" si="3"/>
        <v>g</v>
      </c>
      <c r="I27" s="336">
        <f>if(and(I5="Adult Maintenance",I4="Canine"),sum((0/1000)*'Balanced Recipe'!L6),if(and(I5="Growth &amp; Development",I4="Canine"),sum((0.08/1000)*'Balanced Recipe'!L6),if(and(I5="Adult Maintenance",I4="Feline"),sum((0.015/1000)*'Balanced Recipe'!L6),if(and(I5="Growth &amp; Development",I4="Feline"),sum((0.015/1000)*'Balanced Recipe'!L6),
if(and(I5="Gestation &amp; Lactation",I4="Canine"),sum(( 0/1000)*'Balanced Recipe'!L6),
if(and(I5="Gestation &amp; Lactation",I4="Feline"),sum(( 0.015/1000)*'Balanced Recipe'!L6),""))))))</f>
        <v>0</v>
      </c>
      <c r="J27" s="336" t="str">
        <f t="shared" si="4"/>
        <v>g</v>
      </c>
    </row>
    <row r="28">
      <c r="A28" s="365" t="s">
        <v>168</v>
      </c>
      <c r="B28" s="366"/>
      <c r="C28" s="367">
        <f>sum('Balanced Recipe Data'!I77)/('Balanced Recipe Data'!F21/'Balanced Recipe'!L6)</f>
        <v>0.4797160081</v>
      </c>
      <c r="D28" s="368" t="s">
        <v>36</v>
      </c>
      <c r="E28" s="369"/>
      <c r="F28" s="369"/>
      <c r="G28" s="370">
        <f>if(and(I5="Adult Maintenance",I4="Canine"),sum((0.11/1000)*'Balanced Recipe'!L6),if(and(I5="Growth &amp; Development",I4="Canine"),sum((13/1000)*'Balanced Recipe'!L6),if(and(I5="Adult Maintenance",I4="Feline"),sum((0/1000)*'Balanced Recipe'!L6),if(and(I5="Growth &amp; Development",I4="Feline"),sum((0/1000)*'Balanced Recipe'!L6),
if(and(I5="Gestation &amp; Lactation",I4="Canine"),sum(( 0.13/1000)*'Balanced Recipe'!L6),
if(and(I5="Gestation &amp; Lactation",I4="Feline"),sum(( 0.025/1000)*'Balanced Recipe'!L6),""))))))</f>
        <v>0.11</v>
      </c>
      <c r="H28" s="370" t="str">
        <f t="shared" si="3"/>
        <v>g</v>
      </c>
      <c r="I28" s="370">
        <f>if(and(I5="Adult Maintenance",I4="Canine"),sum((0.11/1000)*'Balanced Recipe'!L6),if(and(I5="Growth &amp; Development",I4="Canine"),sum((0.13/1000)*'Balanced Recipe'!L6),if(and(I5="Adult Maintenance",I4="Feline"),sum((0.025/1000)*'Balanced Recipe'!L6),if(and(I5="Growth &amp; Development",I4="Feline"),sum((0.025/1000)*'Balanced Recipe'!L6),
if(and(I5="Gestation &amp; Lactation",I4="Canine"),sum(( 0.13/1000)*'Balanced Recipe'!L6),
if(and(I5="Gestation &amp; Lactation",I4="Feline"),sum(( 0.025/1000)*'Balanced Recipe'!L6),""))))))</f>
        <v>0.11</v>
      </c>
      <c r="J28" s="370" t="str">
        <f t="shared" si="4"/>
        <v>g</v>
      </c>
    </row>
    <row r="29">
      <c r="A29" s="317" t="s">
        <v>169</v>
      </c>
      <c r="B29" s="318"/>
      <c r="C29" s="353" t="s">
        <v>146</v>
      </c>
      <c r="D29" s="320"/>
      <c r="E29" s="354"/>
      <c r="F29" s="354"/>
      <c r="G29" s="353" t="s">
        <v>147</v>
      </c>
      <c r="H29" s="320"/>
      <c r="I29" s="353" t="s">
        <v>148</v>
      </c>
      <c r="J29" s="323"/>
    </row>
    <row r="30">
      <c r="A30" s="355" t="s">
        <v>170</v>
      </c>
      <c r="B30" s="356"/>
      <c r="C30" s="326">
        <f>sum('Balanced Recipe Data'!U50)/('Balanced Recipe Data'!F21/'Balanced Recipe'!L6)</f>
        <v>3171.67237</v>
      </c>
      <c r="D30" s="327" t="s">
        <v>11</v>
      </c>
      <c r="E30" s="328"/>
      <c r="F30" s="328"/>
      <c r="G30" s="329">
        <f>if(and(I5="Adult Maintenance",I4="Canine"),sum((303/1000)*'Balanced Recipe'!L6),if(and(I5="Growth &amp; Development",I4="Canine"),sum((330/1000)*'Balanced Recipe'!L6),if(and(I5="Adult Maintenance",I4="Feline"),sum((250/1000)*'Balanced Recipe'!L6),if(and(I5="Growth &amp; Development",I4="Feline"),sum((250/1000)*'Balanced Recipe'!L6),
if(and(I5="Gestation &amp; Lactation",I4="Canine"),sum(( 303/1000)*'Balanced Recipe'!L6),
if(and(I5="Gestation &amp; Lactation",I4="Feline"),sum(( 200/1000)*'Balanced Recipe'!L6),""))))))</f>
        <v>303</v>
      </c>
      <c r="H30" s="329" t="str">
        <f t="shared" ref="H30:H41" si="5">D30</f>
        <v>mcg</v>
      </c>
      <c r="I30" s="329">
        <f>if(and(I5="Adult Maintenance",I4="Canine"),sum((379/1000)*'Balanced Recipe'!L6),if(and(I5="Growth &amp; Development",I4="Canine"),sum((379/1000)*'Balanced Recipe'!L6),if(and(I5="Adult Maintenance",I4="Feline"),sum((250/1000)*'Balanced Recipe'!L6),if(and(I5="Growth &amp; Development",I4="Feline"),sum((250/1000)*'Balanced Recipe'!L6),
if(and(I5="Gestation &amp; Lactation",I4="Canine"),sum(( 379/1000)*'Balanced Recipe'!L6),
if(and(I5="Gestation &amp; Lactation",I4="Feline"),sum(( 250/1000)*'Balanced Recipe'!L6),""))))))</f>
        <v>379</v>
      </c>
      <c r="J30" s="329" t="str">
        <f t="shared" ref="J30:J41" si="6">H30</f>
        <v>mcg</v>
      </c>
    </row>
    <row r="31">
      <c r="A31" s="357" t="s">
        <v>171</v>
      </c>
      <c r="B31" s="358"/>
      <c r="C31" s="359">
        <f>sum('Balanced Recipe Data'!U53)/('Balanced Recipe Data'!F21/'Balanced Recipe'!L6)</f>
        <v>5.866527016</v>
      </c>
      <c r="D31" s="333" t="s">
        <v>11</v>
      </c>
      <c r="E31" s="360"/>
      <c r="F31" s="360"/>
      <c r="G31" s="336">
        <f>if(and(I5="Adult Maintenance",I4="Canine"),sum((2.75/1000)*'Balanced Recipe'!L6),if(and(I5="Growth &amp; Development",I4="Canine"),sum((2.75/1000)*'Balanced Recipe'!L6),if(and(I5="Adult Maintenance",I4="Feline"),sum((1.8/1000)*'Balanced Recipe'!L6),if(and(I5="Growth &amp; Development",I4="Feline"),sum((1.8/1000)*'Balanced Recipe'!L6),
if(and(I5="Gestation &amp; Lactation",I4="Canine"),sum(( 2.75/1000)*'Balanced Recipe'!L6),
if(and(I5="Gestation &amp; Lactation",I4="Feline"),sum(( 1.4/1000)*'Balanced Recipe'!L6),""))))))</f>
        <v>2.75</v>
      </c>
      <c r="H31" s="336" t="str">
        <f t="shared" si="5"/>
        <v>mcg</v>
      </c>
      <c r="I31" s="336">
        <f>if(and(I5="Adult Maintenance",I4="Canine"),sum((3.4/1000)*'Balanced Recipe'!L6),if(and(I5="Growth &amp; Development",I4="Canine"),sum((3.4/1000)*'Balanced Recipe'!L6),if(and(I5="Adult Maintenance",I4="Feline"),sum((1.8/1000)*'Balanced Recipe'!L6),if(and(I5="Growth &amp; Development",I4="Feline"),sum((1.8/1000)*'Balanced Recipe'!L6),
if(and(I5="Gestation &amp; Lactation",I4="Canine"),sum(( 3.4/1000)*'Balanced Recipe'!L6),
if(and(I5="Gestation &amp; Lactation",I4="Feline"),sum(( 1.75/1000)*'Balanced Recipe'!L6),""))))))</f>
        <v>3.4</v>
      </c>
      <c r="J31" s="336" t="str">
        <f t="shared" si="6"/>
        <v>mcg</v>
      </c>
    </row>
    <row r="32">
      <c r="A32" s="361" t="s">
        <v>172</v>
      </c>
      <c r="B32" s="362"/>
      <c r="C32" s="363">
        <f>sum(('Balanced Recipe'!J24)*(VLOOKUP('Balanced Recipe'!C24,'Supplement Master List'!$A$1:$Q$1032,4,false)))*0.67</f>
        <v>67</v>
      </c>
      <c r="D32" s="340" t="s">
        <v>26</v>
      </c>
      <c r="E32" s="364"/>
      <c r="F32" s="364"/>
      <c r="G32" s="343">
        <f>if(and(I5="Adult Maintenance",I4="Canine"),sum((6/1000)*'Balanced Recipe'!L6),if(and(I5="Growth &amp; Development",I4="Canine"),sum((6/1000)*'Balanced Recipe'!L6),if(and(I5="Adult Maintenance",I4="Feline"),sum((10/1000)*'Balanced Recipe'!L6),if(and(I5="Growth &amp; Development",I4="Feline"),sum((10/1000)*'Balanced Recipe'!L6),
if(and(I5="Gestation &amp; Lactation",I4="Canine"),sum(( 6/1000)*'Balanced Recipe'!L6),
if(and(I5="Gestation &amp; Lactation",I4="Feline"),sum(( 7.5/1000)*'Balanced Recipe'!L6),""))))))</f>
        <v>6</v>
      </c>
      <c r="H32" s="343" t="str">
        <f t="shared" si="5"/>
        <v>mg</v>
      </c>
      <c r="I32" s="343">
        <f>if(and(I5="Adult Maintenance",I4="Canine"),sum((7.5/1000)*'Balanced Recipe'!L6),if(and(I5="Growth &amp; Development",I4="Canine"),sum((7.5/1000)*'Balanced Recipe'!L6),if(and(I5="Adult Maintenance",I4="Feline"),sum((10/1000)*'Balanced Recipe'!L6),if(and(I5="Growth &amp; Development",I4="Feline"),sum((10/1000)*'Balanced Recipe'!L6),
if(and(I5="Gestation &amp; Lactation",I4="Canine"),sum(( 7.5/1000)*'Balanced Recipe'!L6),
if(and(I5="Gestation &amp; Lactation",I4="Feline"),sum(( 10/1000)*'Balanced Recipe'!L6),""))))))</f>
        <v>7.5</v>
      </c>
      <c r="J32" s="343" t="str">
        <f t="shared" si="6"/>
        <v>mg</v>
      </c>
    </row>
    <row r="33">
      <c r="A33" s="357" t="s">
        <v>173</v>
      </c>
      <c r="B33" s="358"/>
      <c r="C33" s="359">
        <f>sum('Balanced Recipe Data'!U60)/('Balanced Recipe Data'!F21/'Balanced Recipe'!L6)</f>
        <v>0.8295089307</v>
      </c>
      <c r="D33" s="333" t="s">
        <v>26</v>
      </c>
      <c r="E33" s="360"/>
      <c r="F33" s="360"/>
      <c r="G33" s="336">
        <f>if(and(I5="Adult Maintenance",I4="Canine"),sum((0.45/1000)*'Balanced Recipe'!L6),if(and(I5="Growth &amp; Development",I4="Canine"),sum((0.27/1000)*'Balanced Recipe'!L6),if(and(I5="Adult Maintenance",I4="Feline"),sum((1.4/1000)*'Balanced Recipe'!L6),if(and(I5="Growth &amp; Development",I4="Feline"),sum((1.1/1000)*'Balanced Recipe'!L6),
if(and(I5="Gestation &amp; Lactation",I4="Canine"),sum(( 0.45/1000)*'Balanced Recipe'!L6),
if(and(I5="Gestation &amp; Lactation",I4="Feline"),sum(( 1.1/1000)*'Balanced Recipe'!L6),""))))))</f>
        <v>0.45</v>
      </c>
      <c r="H33" s="336" t="str">
        <f t="shared" si="5"/>
        <v>mg</v>
      </c>
      <c r="I33" s="336">
        <f>if(and(I5="Adult Maintenance",I4="Canine"),sum((0.56/1000)*'Balanced Recipe'!L6),if(and(I5="Growth &amp; Development",I4="Canine"),sum((0.34/1000)*'Balanced Recipe'!L6),if(and(I5="Adult Maintenance",I4="Feline"),sum((1.4/1000)*'Balanced Recipe'!L6),if(and(I5="Growth &amp; Development",I4="Feline"),sum((1.4/1000)*'Balanced Recipe'!L6),
if(and(I5="Gestation &amp; Lactation",I4="Canine"),sum(( 0.56/1000)*'Balanced Recipe'!L6),
if(and(I5="Gestation &amp; Lactation",I4="Feline"),sum(( 1.4/1000)*'Balanced Recipe'!L6),""))))))</f>
        <v>0.56</v>
      </c>
      <c r="J33" s="336" t="str">
        <f t="shared" si="6"/>
        <v>mg</v>
      </c>
    </row>
    <row r="34">
      <c r="A34" s="361" t="s">
        <v>174</v>
      </c>
      <c r="B34" s="362"/>
      <c r="C34" s="363">
        <f>sum('Balanced Recipe Data'!U61)/('Balanced Recipe Data'!F21/'Balanced Recipe'!L6)</f>
        <v>2.76836113</v>
      </c>
      <c r="D34" s="340" t="s">
        <v>26</v>
      </c>
      <c r="E34" s="364"/>
      <c r="F34" s="364"/>
      <c r="G34" s="343">
        <f>if(and(I5="Adult Maintenance",I4="Canine"),sum((1.05/1000)*'Balanced Recipe'!L6),if(and(I5="Growth &amp; Development",I4="Canine"),sum((1.05/1000)*'Balanced Recipe'!L6),if(and(I5="Adult Maintenance",I4="Feline"),sum((1/1000)*'Balanced Recipe'!L6),if(and(I5="Growth &amp; Development",I4="Feline"),sum((1/1000)*'Balanced Recipe'!L6),
if(and(I5="Gestation &amp; Lactation",I4="Canine"),sum(( 1.05/1000)*'Balanced Recipe'!L6),
if(and(I5="Gestation &amp; Lactation",I4="Feline"),sum(( 0.8/1000)*'Balanced Recipe'!L6),""))))))</f>
        <v>1.05</v>
      </c>
      <c r="H34" s="343" t="str">
        <f t="shared" si="5"/>
        <v>mg</v>
      </c>
      <c r="I34" s="343">
        <f>if(and(I5="Adult Maintenance",I4="Canine"),sum((1.3/1000)*'Balanced Recipe'!L6),if(and(I5="Growth &amp; Development",I4="Canine"),sum((1.32/1000)*'Balanced Recipe'!L6),if(and(I5="Adult Maintenance",I4="Feline"),sum((1/1000)*'Balanced Recipe'!L6),if(and(I5="Growth &amp; Development",I4="Feline"),sum((1/1000)*'Balanced Recipe'!L6),
if(and(I5="Gestation &amp; Lactation",I4="Canine"),sum(( 1.3/1000)*'Balanced Recipe'!L6),
if(and(I5="Gestation &amp; Lactation",I4="Feline"),sum(( 1/1000)*'Balanced Recipe'!L6),""))))))</f>
        <v>1.3</v>
      </c>
      <c r="J34" s="343" t="str">
        <f t="shared" si="6"/>
        <v>mg</v>
      </c>
    </row>
    <row r="35">
      <c r="A35" s="357" t="s">
        <v>175</v>
      </c>
      <c r="B35" s="358"/>
      <c r="C35" s="359">
        <f>sum('Balanced Recipe Data'!U62)/('Balanced Recipe Data'!F21/'Balanced Recipe'!L6)</f>
        <v>44.73351776</v>
      </c>
      <c r="D35" s="333" t="s">
        <v>26</v>
      </c>
      <c r="E35" s="360"/>
      <c r="F35" s="360"/>
      <c r="G35" s="336">
        <f>if(and(I5="Adult Maintenance",I4="Canine"),sum((3.4/1000)*'Balanced Recipe'!L6),if(and(I5="Growth &amp; Development",I4="Canine"),sum((3.4/1000)*'Balanced Recipe'!L6),if(and(I5="Adult Maintenance",I4="Feline"),sum((10/1000)*'Balanced Recipe'!L6),if(and(I5="Growth &amp; Development",I4="Feline"),sum((10/1000)*'Balanced Recipe'!L6),
if(and(I5="Gestation &amp; Lactation",I4="Canine"),sum(( 3.4/1000)*'Balanced Recipe'!L6),
if(and(I5="Gestation &amp; Lactation",I4="Feline"),sum(( 8/1000)*'Balanced Recipe'!L6),""))))))</f>
        <v>3.4</v>
      </c>
      <c r="H35" s="336" t="str">
        <f t="shared" si="5"/>
        <v>mg</v>
      </c>
      <c r="I35" s="336">
        <f>if(and(I5="Adult Maintenance",I4="Canine"),sum((4.25/1000)*'Balanced Recipe'!L6),if(and(I5="Growth &amp; Development",I4="Canine"),sum((4.25/1000)*'Balanced Recipe'!L6),if(and(I5="Adult Maintenance",I4="Feline"),sum((10/1000)*'Balanced Recipe'!L6),if(and(I5="Growth &amp; Development",I4="Feline"),sum((10/1000)*'Balanced Recipe'!L6),
if(and(I5="Gestation &amp; Lactation",I4="Canine"),sum(( 4.25/1000)*'Balanced Recipe'!L6),
if(and(I5="Gestation &amp; Lactation",I4="Feline"),sum(( 10/1000)*'Balanced Recipe'!L6),""))))))</f>
        <v>4.25</v>
      </c>
      <c r="J35" s="336" t="str">
        <f t="shared" si="6"/>
        <v>mg</v>
      </c>
    </row>
    <row r="36">
      <c r="A36" s="361" t="s">
        <v>176</v>
      </c>
      <c r="B36" s="362"/>
      <c r="C36" s="363">
        <f>sum('Balanced Recipe Data'!U63)/('Balanced Recipe Data'!F21/'Balanced Recipe'!L6)</f>
        <v>9.634296496</v>
      </c>
      <c r="D36" s="340" t="s">
        <v>26</v>
      </c>
      <c r="E36" s="364"/>
      <c r="F36" s="364"/>
      <c r="G36" s="343">
        <f>if(and(I5="Adult Maintenance",I4="Canine"),sum((3/1000)*'Balanced Recipe'!L6),if(and(I5="Growth &amp; Development",I4="Canine"),sum((3/1000)*'Balanced Recipe'!L6),if(and(I5="Adult Maintenance",I4="Feline"),sum((1.2/1000)*'Balanced Recipe'!L6),if(and(I5="Growth &amp; Development",I4="Feline"),sum((1.2/1000)*'Balanced Recipe'!L6),
if(and(I5="Gestation &amp; Lactation",I4="Canine"),sum(( 3/1000)*'Balanced Recipe'!L6),
if(and(I5="Gestation &amp; Lactation",I4="Feline"),sum(( 1.15/1000)*'Balanced Recipe'!L6),""))))))</f>
        <v>3</v>
      </c>
      <c r="H36" s="343" t="str">
        <f t="shared" si="5"/>
        <v>mg</v>
      </c>
      <c r="I36" s="343">
        <f>if(and(I5="Adult Maintenance",I4="Canine"),sum((3.75/1000)*'Balanced Recipe'!L6),if(and(I5="Growth &amp; Development",I4="Canine"),sum((3.75/1000)*'Balanced Recipe'!L6),if(and(I5="Adult Maintenance",I4="Feline"),sum((1.4/1000)*'Balanced Recipe'!L6),if(and(I5="Growth &amp; Development",I4="Feline"),sum((1.4/1000)*'Balanced Recipe'!L6),
if(and(I5="Gestation &amp; Lactation",I4="Canine"),sum(( 3.75/1000)*'Balanced Recipe'!L6),
if(and(I5="Gestation &amp; Lactation",I4="Feline"),sum(( 1.44/1000)*'Balanced Recipe'!L6),""))))))</f>
        <v>3.75</v>
      </c>
      <c r="J36" s="343" t="str">
        <f t="shared" si="6"/>
        <v>mg</v>
      </c>
    </row>
    <row r="37">
      <c r="A37" s="357" t="s">
        <v>177</v>
      </c>
      <c r="B37" s="358"/>
      <c r="C37" s="359">
        <f>sum('Balanced Recipe Data'!U64)/('Balanced Recipe Data'!F21/'Balanced Recipe'!L6)</f>
        <v>3.308041639</v>
      </c>
      <c r="D37" s="333" t="s">
        <v>26</v>
      </c>
      <c r="E37" s="360"/>
      <c r="F37" s="360"/>
      <c r="G37" s="336">
        <f>if(and(I5="Adult Maintenance",I4="Canine"),sum((0.3/1000)*'Balanced Recipe'!L6),if(and(I5="Growth &amp; Development",I4="Canine"),sum((0.3/1000)*'Balanced Recipe'!L6),if(and(I5="Adult Maintenance",I4="Feline"),sum((0.5/1000)*'Balanced Recipe'!L6),if(and(I5="Growth &amp; Development",I4="Feline"),sum((0.5/1000)*'Balanced Recipe'!L6),
if(and(I5="Gestation &amp; Lactation",I4="Canine"),sum(( 1.3/1000)*'Balanced Recipe'!L6),
if(and(I5="Gestation &amp; Lactation",I4="Feline"),sum(( 0.5/1000)*'Balanced Recipe'!L6),""))))))</f>
        <v>0.3</v>
      </c>
      <c r="H37" s="336" t="str">
        <f t="shared" si="5"/>
        <v>mg</v>
      </c>
      <c r="I37" s="336">
        <f>if(and(I5="Adult Maintenance",I4="Canine"),sum((0.375/1000)*'Balanced Recipe'!L6),if(and(I5="Growth &amp; Development",I4="Canine"),sum((0.375/1000)*'Balanced Recipe'!L6),if(and(I5="Adult Maintenance",I4="Feline"),sum((0.6/1000)*'Balanced Recipe'!L6),if(and(I5="Growth &amp; Development",I4="Feline"),sum((0.6/1000)*'Balanced Recipe'!L6),
if(and(I5="Gestation &amp; Lactation",I4="Canine"),sum(( 0.375/1000)*'Balanced Recipe'!L6),
if(and(I5="Gestation &amp; Lactation",I4="Feline"),sum(( 0.625/1000)*'Balanced Recipe'!L6),""))))))</f>
        <v>0.375</v>
      </c>
      <c r="J37" s="336" t="str">
        <f t="shared" si="6"/>
        <v>mg</v>
      </c>
    </row>
    <row r="38">
      <c r="A38" s="361" t="s">
        <v>178</v>
      </c>
      <c r="B38" s="362"/>
      <c r="C38" s="363">
        <f>sum('Balanced Recipe Data'!U65)/('Balanced Recipe Data'!F21/'Balanced Recipe'!L6)</f>
        <v>62.96272607</v>
      </c>
      <c r="D38" s="340" t="s">
        <v>11</v>
      </c>
      <c r="E38" s="364"/>
      <c r="F38" s="371"/>
      <c r="G38" s="372">
        <f>if(and(I5="Adult Maintenance",I4="Feline"),sum((15/1000)*'Balanced Recipe'!L6),if(and(I5="Growth &amp; Development",I4="Feline"),sum((15/1000)*'Balanced Recipe'!L6),if(and(I5="Gestation &amp; Lactation",I4="Feline"),sum((15/1000)*'Balanced Recipe'!L6),0)))</f>
        <v>0</v>
      </c>
      <c r="H38" s="343" t="str">
        <f t="shared" si="5"/>
        <v>mcg</v>
      </c>
      <c r="I38" s="372">
        <f>if(and(I5="Adult Maintenance",I4="Feline"),sum((18.75/1000)*'Balanced Recipe'!L6),if(and(I5="Growth &amp; Development",I4="Feline"),sum((18.75/1000)*'Balanced Recipe'!L6),if(and(I5="Gestation &amp; Lactation",I4="Feline"),sum((18.75/1000)*'Balanced Recipe'!L6),0)))</f>
        <v>0</v>
      </c>
      <c r="J38" s="343" t="str">
        <f t="shared" si="6"/>
        <v>mcg</v>
      </c>
    </row>
    <row r="39">
      <c r="A39" s="357" t="s">
        <v>179</v>
      </c>
      <c r="B39" s="358"/>
      <c r="C39" s="359">
        <f>sum('Balanced Recipe Data'!U66)/('Balanced Recipe Data'!F21/'Balanced Recipe'!L6)</f>
        <v>262.0748517</v>
      </c>
      <c r="D39" s="333" t="s">
        <v>11</v>
      </c>
      <c r="E39" s="360"/>
      <c r="F39" s="360"/>
      <c r="G39" s="336">
        <f>if(and(I5="Adult Maintenance",I4="Canine"),sum((54/1000)*'Balanced Recipe'!L6),if(and(I5="Growth &amp; Development",I4="Canine"),sum((54/1000)*'Balanced Recipe'!L6),if(and(I5="Adult Maintenance",I4="Feline"),sum((188/1000)*'Balanced Recipe'!L6),if(and(I5="Growth &amp; Development",I4="Feline"),sum((188/1000)*'Balanced Recipe'!L6),
if(and(I5="Gestation &amp; Lactation",I4="Canine"),sum(( 54/1000)*'Balanced Recipe'!L6),
if(and(I5="Gestation &amp; Lactation",I4="Feline"),sum(( 150/1000)*'Balanced Recipe'!L6),""))))))</f>
        <v>54</v>
      </c>
      <c r="H39" s="336" t="str">
        <f t="shared" si="5"/>
        <v>mcg</v>
      </c>
      <c r="I39" s="336">
        <f>if(and(I5="Adult Maintenance",I4="Canine"),sum((67.5/1000)*'Balanced Recipe'!L6),if(and(I5="Growth &amp; Development",I4="Canine"),sum((68/1000)*'Balanced Recipe'!L6),if(and(I5="Adult Maintenance",I4="Feline"),sum((188/1000)*'Balanced Recipe'!L6),if(and(I5="Growth &amp; Development",I4="Feline"),sum((188/1000)*'Balanced Recipe'!L6),
if(and(I5="Gestation &amp; Lactation",I4="Canine"),sum(( 67.5/1000)*'Balanced Recipe'!L6),
if(and(I5="Gestation &amp; Lactation",I4="Feline"),sum(( 188/1000)*'Balanced Recipe'!L6),""))))))</f>
        <v>67.5</v>
      </c>
      <c r="J39" s="336" t="str">
        <f t="shared" si="6"/>
        <v>mcg</v>
      </c>
    </row>
    <row r="40">
      <c r="A40" s="361" t="s">
        <v>180</v>
      </c>
      <c r="B40" s="362"/>
      <c r="C40" s="363">
        <f>sum('Balanced Recipe Data'!U67)/('Balanced Recipe Data'!F21/'Balanced Recipe'!L6)</f>
        <v>54.42777875</v>
      </c>
      <c r="D40" s="340" t="s">
        <v>11</v>
      </c>
      <c r="E40" s="364"/>
      <c r="F40" s="364"/>
      <c r="G40" s="343">
        <f>if(and(I5="Adult Maintenance",I4="Canine"),sum((7/1000)*'Balanced Recipe'!L6),if(and(I5="Growth &amp; Development",I4="Canine"),sum((7/1000)*'Balanced Recipe'!L6),if(and(I5="Adult Maintenance",I4="Feline"),sum((5.6/1000)*'Balanced Recipe'!L6),if(and(I5="Growth &amp; Development",I4="Feline"),sum((5.6/1000)*'Balanced Recipe'!L6),
if(and(I5="Gestation &amp; Lactation",I4="Canine"),sum(( 7/1000)*'Balanced Recipe'!L6),
if(and(I5="Gestation &amp; Lactation",I4="Feline"),sum(( 4.5/1000)*'Balanced Recipe'!L6),""))))))</f>
        <v>7</v>
      </c>
      <c r="H40" s="343" t="str">
        <f t="shared" si="5"/>
        <v>mcg</v>
      </c>
      <c r="I40" s="343">
        <f>if(and(I5="Adult Maintenance",I4="Canine"),sum((8.75/1000)*'Balanced Recipe'!L6),if(and(I5="Growth &amp; Development",I4="Canine"),sum((8.75/1000)*'Balanced Recipe'!L6),if(and(I5="Adult Maintenance",I4="Feline"),sum((5.6/1000)*'Balanced Recipe'!L6),if(and(I5="Growth &amp; Development",I4="Feline"),sum((5.6/1000)*'Balanced Recipe'!L6),
if(and(I5="Gestation &amp; Lactation",I4="Canine"),sum(( 8.75/1000)*'Balanced Recipe'!L6),
if(and(I5="Gestation &amp; Lactation",I4="Feline"),sum(( 5.6/1000)*'Balanced Recipe'!L6),""))))))</f>
        <v>8.75</v>
      </c>
      <c r="J40" s="343" t="str">
        <f t="shared" si="6"/>
        <v>mcg</v>
      </c>
    </row>
    <row r="41">
      <c r="A41" s="373" t="s">
        <v>181</v>
      </c>
      <c r="B41" s="374"/>
      <c r="C41" s="375">
        <f>sum('Balanced Recipe Data'!U68)/('Balanced Recipe Data'!F21/'Balanced Recipe'!L6)</f>
        <v>225.5764587</v>
      </c>
      <c r="D41" s="376" t="s">
        <v>11</v>
      </c>
      <c r="E41" s="377"/>
      <c r="F41" s="377"/>
      <c r="G41" s="378">
        <f>if(and(I5="Adult Maintenance",I4="Canine"),sum((340/1000)*'Balanced Recipe'!L6),if(and(I5="Growth &amp; Development",I4="Canine"),sum((340/1000)*'Balanced Recipe'!L6),if(and(I5="Adult Maintenance",I4="Feline"),sum((510/1000)*'Balanced Recipe'!L6),if(and(I5="Growth &amp; Development",I4="Feline"),sum((510/1000)*'Balanced Recipe'!L6),
if(and(I5="Gestation &amp; Lactation",I4="Canine"),sum(( 340/1000)*'Balanced Recipe'!L6),
if(and(I5="Gestation &amp; Lactation",I4="Feline"),sum(( 510/1000)*'Balanced Recipe'!L6),""))))))</f>
        <v>340</v>
      </c>
      <c r="H41" s="378" t="str">
        <f t="shared" si="5"/>
        <v>mcg</v>
      </c>
      <c r="I41" s="378">
        <f>if(and(I5="Adult Maintenance",I4="Canine"),sum((425/1000)*'Balanced Recipe'!L6),if(and(I5="Growth &amp; Development",I4="Canine"),sum((425/1000)*'Balanced Recipe'!L6),if(and(I5="Adult Maintenance",I4="Feline"),sum((637/1000)*'Balanced Recipe'!L6),if(and(I5="Growth &amp; Development",I4="Feline"),sum((637/1000)*'Balanced Recipe'!L6),
if(and(I5="Gestation &amp; Lactation",I4="Canine"),sum(( 425/1000)*'Balanced Recipe'!L6),
if(and(I5="Gestation &amp; Lactation",I4="Feline"),sum(( 637/1000)*'Balanced Recipe'!L6),""))))))</f>
        <v>425</v>
      </c>
      <c r="J41" s="378" t="str">
        <f t="shared" si="6"/>
        <v>mcg</v>
      </c>
    </row>
    <row r="42">
      <c r="A42" s="379" t="s">
        <v>182</v>
      </c>
      <c r="B42" s="380"/>
      <c r="C42" s="380"/>
      <c r="D42" s="380"/>
      <c r="E42" s="380"/>
      <c r="F42" s="380"/>
      <c r="G42" s="380"/>
      <c r="H42" s="380"/>
      <c r="I42" s="380"/>
      <c r="J42" s="380"/>
    </row>
    <row r="43" ht="15.75" customHeight="1">
      <c r="A43" s="317" t="s">
        <v>183</v>
      </c>
      <c r="B43" s="381"/>
      <c r="C43" s="353" t="s">
        <v>146</v>
      </c>
      <c r="D43" s="320"/>
      <c r="E43" s="354"/>
      <c r="F43" s="354"/>
      <c r="G43" s="353" t="s">
        <v>147</v>
      </c>
      <c r="H43" s="320"/>
      <c r="I43" s="353" t="s">
        <v>148</v>
      </c>
      <c r="J43" s="323"/>
    </row>
    <row r="44" ht="15.75" customHeight="1">
      <c r="A44" s="355" t="s">
        <v>184</v>
      </c>
      <c r="B44" s="356"/>
      <c r="C44" s="326">
        <f>sum('Balanced Recipe Data'!U72)/('Balanced Recipe Data'!F21/'Balanced Recipe'!L6)</f>
        <v>3.018213218</v>
      </c>
      <c r="D44" s="327" t="s">
        <v>36</v>
      </c>
      <c r="E44" s="328"/>
      <c r="F44" s="328"/>
      <c r="G44" s="329">
        <f>if(and(I5="Adult Maintenance",I4="Canine"),sum((0.5/1000)*'Balanced Recipe'!L6),if(and(I5="Growth &amp; Development",I4="Canine"),sum((2/1000)*'Balanced Recipe'!L6),if(and(I5="Adult Maintenance",I4="Feline"),sum((0.4/1000)*'Balanced Recipe'!L6),if(and(I5="Growth &amp; Development",I4="Feline"),sum((1.3/1000)*'Balanced Recipe'!L6),
if(and(I5="Gestation &amp; Lactation",I4="Canine"),sum(( 1.9/1000)*'Balanced Recipe'!L6),
if(and(I5="Gestation &amp; Lactation",I4="Feline"),sum(( 0.4/1000)*'Balanced Recipe'!L6),""))))))</f>
        <v>0.5</v>
      </c>
      <c r="H44" s="329" t="str">
        <f t="shared" ref="H44:H45" si="7">D44</f>
        <v>g</v>
      </c>
      <c r="I44" s="329">
        <f>if(and(I5="Adult Maintenance",I4="Canine"),sum((1/1000)*'Balanced Recipe'!L6),if(and(I5="Growth &amp; Development",I4="Canine"),sum((3/1000)*'Balanced Recipe'!L6),if(and(I5="Adult Maintenance",I4="Feline"),sum((0.7/1000)*'Balanced Recipe'!L6),if(and(I5="Growth &amp; Development",I4="Feline"),sum((2/1000)*'Balanced Recipe'!L6),
if(and(I5="Gestation &amp; Lactation",I4="Canine"),sum(( 1.9/1000)*'Balanced Recipe'!L6),
if(and(I5="Gestation &amp; Lactation",I4="Feline"),sum(( 0.72/1000)*'Balanced Recipe'!L6),""))))))</f>
        <v>1</v>
      </c>
      <c r="J44" s="329" t="str">
        <f t="shared" ref="J44:J45" si="8">H44</f>
        <v>g</v>
      </c>
    </row>
    <row r="45">
      <c r="A45" s="357" t="s">
        <v>185</v>
      </c>
      <c r="B45" s="358"/>
      <c r="C45" s="359">
        <f>sum('Balanced Recipe Data'!U74)/('Balanced Recipe Data'!F21/'Balanced Recipe'!L6)</f>
        <v>2.448550458</v>
      </c>
      <c r="D45" s="333" t="s">
        <v>36</v>
      </c>
      <c r="E45" s="360"/>
      <c r="F45" s="360"/>
      <c r="G45" s="336">
        <f>if(and(I5="Adult Maintenance",I4="Canine"),sum((0.75/1000)*'Balanced Recipe'!L6),if(and(I5="Growth &amp; Development",I4="Canine"),sum((2.5/1000)*'Balanced Recipe'!L6),if(and(I5="Adult Maintenance",I4="Feline"),sum((0.4/1000)*'Balanced Recipe'!L6),if(and(I5="Growth &amp; Development",I4="Feline"),sum((1.2/1000)*'Balanced Recipe'!L6),
if(and(I5="Gestation &amp; Lactation",I4="Canine"),sum(( 1.2/1000)*'Balanced Recipe'!L6),
if(and(I5="Gestation &amp; Lactation",I4="Feline"),sum(( 0.35/1000)*'Balanced Recipe'!L6),""))))))</f>
        <v>0.75</v>
      </c>
      <c r="H45" s="336" t="str">
        <f t="shared" si="7"/>
        <v>g</v>
      </c>
      <c r="I45" s="336">
        <f>if(and(I5="Adult Maintenance",I4="Canine"),sum((0.75/1000)*'Balanced Recipe'!L6),if(and(I5="Growth &amp; Development",I4="Canine"),sum((2.5/1000)*'Balanced Recipe'!L6),if(and(I5="Adult Maintenance",I4="Feline"),sum((0.6/1000)*'Balanced Recipe'!L6),if(and(I5="Growth &amp; Development",I4="Feline"),sum((1.8/1000)*'Balanced Recipe'!L6),
if(and(I5="Gestation &amp; Lactation",I4="Canine"),sum(( 1.2/1000)*'Balanced Recipe'!L6),
if(and(I5="Gestation &amp; Lactation",I4="Feline"),sum(( 0.64/1000)*'Balanced Recipe'!L6),""))))))</f>
        <v>0.75</v>
      </c>
      <c r="J45" s="336" t="str">
        <f t="shared" si="8"/>
        <v>g</v>
      </c>
    </row>
    <row r="46" hidden="1">
      <c r="A46" s="382" t="s">
        <v>186</v>
      </c>
      <c r="B46" s="383"/>
      <c r="C46" s="383"/>
      <c r="D46" s="383"/>
      <c r="E46" s="383"/>
      <c r="F46" s="383"/>
      <c r="G46" s="383"/>
      <c r="H46" s="383"/>
      <c r="I46" s="383"/>
      <c r="J46" s="383"/>
    </row>
    <row r="47">
      <c r="A47" s="357" t="s">
        <v>187</v>
      </c>
      <c r="B47" s="358"/>
      <c r="C47" s="359">
        <f>sum('Balanced Recipe Data'!U76)/('Balanced Recipe Data'!F21/'Balanced Recipe'!L6)</f>
        <v>210.3154932</v>
      </c>
      <c r="D47" s="333" t="s">
        <v>26</v>
      </c>
      <c r="E47" s="360"/>
      <c r="F47" s="360"/>
      <c r="G47" s="336">
        <f>if(and(I5="Adult Maintenance",I4="Canine"),sum((45/1000)*'Balanced Recipe'!L6),if(and(I5="Growth &amp; Development",I4="Canine"),sum((45/1000)*'Balanced Recipe'!L6),if(and(I5="Adult Maintenance",I4="Feline"),sum((50/1000)*'Balanced Recipe'!L6),if(and(I5="Growth &amp; Development",I4="Feline"),sum((40/1000)*'Balanced Recipe'!L6),
if(and(I5="Gestation &amp; Lactation",I4="Canine"),sum(( 150/1000)*'Balanced Recipe'!L6),
if(and(I5="Gestation &amp; Lactation",I4="Feline"),sum(( 50/1000)*'Balanced Recipe'!L6),""))))))</f>
        <v>45</v>
      </c>
      <c r="H47" s="336" t="str">
        <f t="shared" ref="H47:H56" si="9">D47</f>
        <v>mg</v>
      </c>
      <c r="I47" s="336">
        <f>if(and(I5="Adult Maintenance",I4="Canine"),sum((150/1000)*'Balanced Recipe'!L6),if(and(I5="Growth &amp; Development",I4="Canine"),sum((100/1000)*'Balanced Recipe'!L6),if(and(I5="Adult Maintenance",I4="Feline"),sum((100/1000)*'Balanced Recipe'!L6),if(and(I5="Growth &amp; Development",I4="Feline"),sum((100/1000)*'Balanced Recipe'!L6),
if(and(I5="Gestation &amp; Lactation",I4="Canine"),sum(( 150/1000)*'Balanced Recipe'!L6),
if(and(I5="Gestation &amp; Lactation",I4="Feline"),sum(( 100/1000)*'Balanced Recipe'!L6),""))))))</f>
        <v>150</v>
      </c>
      <c r="J47" s="336" t="str">
        <f t="shared" ref="J47:J56" si="10">H47</f>
        <v>mg</v>
      </c>
    </row>
    <row r="48">
      <c r="A48" s="361" t="s">
        <v>188</v>
      </c>
      <c r="B48" s="362"/>
      <c r="C48" s="363">
        <f>sum('Balanced Recipe Data'!U78)/('Balanced Recipe Data'!F21/'Balanced Recipe'!L6)</f>
        <v>680.8369445</v>
      </c>
      <c r="D48" s="340" t="s">
        <v>26</v>
      </c>
      <c r="E48" s="364"/>
      <c r="F48" s="364"/>
      <c r="G48" s="343">
        <f>if(and(I5="Adult Maintenance",I4="Canine"),sum((75/1000)*'Balanced Recipe'!L6),if(and(I5="Growth &amp; Development",I4="Canine"),sum((550/1000)*'Balanced Recipe'!L6),if(and(I5="Adult Maintenance",I4="Feline"),sum((160/1000)*'Balanced Recipe'!L6),if(and(I5="Growth &amp; Development",I4="Feline"),sum((310/1000)*'Balanced Recipe'!L6),
if(and(I5="Gestation &amp; Lactation",I4="Canine"),sum(( 500/1000)*'Balanced Recipe'!L6),
if(and(I5="Gestation &amp; Lactation",I4="Feline"),sum(( 160/1000)*'Balanced Recipe'!L6),""))))))</f>
        <v>75</v>
      </c>
      <c r="H48" s="343" t="str">
        <f t="shared" si="9"/>
        <v>mg</v>
      </c>
      <c r="I48" s="343">
        <f>if(and(I5="Adult Maintenance",I4="Canine"),sum((200/1000)*'Balanced Recipe'!L6),if(and(I5="Growth &amp; Development",I4="Canine"),sum((550/1000)*'Balanced Recipe'!L6),if(and(I5="Adult Maintenance",I4="Feline"),sum((170/1000)*'Balanced Recipe'!L6),if(and(I5="Growth &amp; Development",I4="Feline"),sum((350/1000)*'Balanced Recipe'!L6),
if(and(I5="Gestation &amp; Lactation",I4="Canine"),sum(( 500/1000)*'Balanced Recipe'!L6),
if(and(I5="Gestation &amp; Lactation",I4="Feline"),sum(( 170/1000)*'Balanced Recipe'!L6),""))))))</f>
        <v>200</v>
      </c>
      <c r="J48" s="343" t="str">
        <f t="shared" si="10"/>
        <v>mg</v>
      </c>
    </row>
    <row r="49">
      <c r="A49" s="357" t="s">
        <v>189</v>
      </c>
      <c r="B49" s="358"/>
      <c r="C49" s="359">
        <f>sum('Balanced Recipe Data'!U80)/('Balanced Recipe Data'!F21/'Balanced Recipe'!L6)</f>
        <v>1.609047444</v>
      </c>
      <c r="D49" s="333" t="s">
        <v>36</v>
      </c>
      <c r="E49" s="360"/>
      <c r="F49" s="360"/>
      <c r="G49" s="336">
        <f>if(and(I5="Adult Maintenance",I4="Canine"),sum((1/1000)*'Balanced Recipe'!L6),if(and(I5="Growth &amp; Development",I4="Canine"),sum((1.1/1000)*'Balanced Recipe'!L6),if(and(I5="Adult Maintenance",I4="Feline"),sum((1.3/1000)*'Balanced Recipe'!L6),if(and(I5="Growth &amp; Development",I4="Feline"),sum((0.7/1000)*'Balanced Recipe'!L6),
if(and(I5="Gestation &amp; Lactation",I4="Canine"),sum(( 0.9/1000)*'Balanced Recipe'!L6),
if(and(I5="Gestation &amp; Lactation",I4="Feline"),sum(( 1.3/1000)*'Balanced Recipe'!L6),""))))))</f>
        <v>1</v>
      </c>
      <c r="H49" s="336" t="str">
        <f t="shared" si="9"/>
        <v>g</v>
      </c>
      <c r="I49" s="336">
        <f>if(and(I5="Adult Maintenance",I4="Canine"),sum((1/1000)*'Balanced Recipe'!L6),if(and(I5="Growth &amp; Development",I4="Canine"),sum((1.1/1000)*'Balanced Recipe'!L6),if(and(I5="Adult Maintenance",I4="Feline"),sum((1.3/1000)*'Balanced Recipe'!L6),if(and(I5="Growth &amp; Development",I4="Feline"),sum((1/1000)*'Balanced Recipe'!L6),
if(and(I5="Gestation &amp; Lactation",I4="Canine"),sum(( 0.9/1000)*'Balanced Recipe'!L6),
if(and(I5="Gestation &amp; Lactation",I4="Feline"),sum(( 1.3/1000)*'Balanced Recipe'!L6),""))))))</f>
        <v>1</v>
      </c>
      <c r="J49" s="336" t="str">
        <f t="shared" si="10"/>
        <v>g</v>
      </c>
    </row>
    <row r="50">
      <c r="A50" s="361" t="s">
        <v>190</v>
      </c>
      <c r="B50" s="362"/>
      <c r="C50" s="363">
        <f>sum('Balanced Recipe Data'!U82)/('Balanced Recipe Data'!F21/'Balanced Recipe'!L6)</f>
        <v>1021.255417</v>
      </c>
      <c r="D50" s="340" t="s">
        <v>26</v>
      </c>
      <c r="E50" s="364"/>
      <c r="F50" s="364"/>
      <c r="G50" s="343">
        <f>if(and(I5="Adult Maintenance",I4="Canine"),sum((300/1000)*'Balanced Recipe'!L6),if(and(I5="Growth &amp; Development",I4="Canine"),sum((720/1000)*'Balanced Recipe'!L6),if(and(I5="Adult Maintenance",I4="Feline"),sum((240/1000)*'Balanced Recipe'!L6),if(and(I5="Growth &amp; Development",I4="Feline"),sum((190/1000)*'Balanced Recipe'!L6),
if(and(I5="Gestation &amp; Lactation",I4="Canine"),sum(( 750/1000)*'Balanced Recipe'!L6),
if(and(I5="Gestation &amp; Lactation",I4="Feline"),sum(( 240/1000)*'Balanced Recipe'!L6),""))))))</f>
        <v>300</v>
      </c>
      <c r="H50" s="343" t="str">
        <f t="shared" si="9"/>
        <v>mg</v>
      </c>
      <c r="I50" s="343">
        <f>if(and(I5="Adult Maintenance",I4="Canine"),sum((300/1000)*'Balanced Recipe'!L6),if(and(I5="Growth &amp; Development",I4="Canine"),sum((720/1000)*'Balanced Recipe'!L6),if(and(I5="Adult Maintenance",I4="Feline"),sum((240/1000)*'Balanced Recipe'!L6),if(and(I5="Growth &amp; Development",I4="Feline"),sum((225/1000)*'Balanced Recipe'!L6),
if(and(I5="Gestation &amp; Lactation",I4="Canine"),sum((750/1000)*'Balanced Recipe'!L6),
if(and(I5="Gestation &amp; Lactation",I4="Feline"),sum(( 240/1000)*'Balanced Recipe'!L6),""))))))</f>
        <v>300</v>
      </c>
      <c r="J50" s="343" t="str">
        <f t="shared" si="10"/>
        <v>mg</v>
      </c>
    </row>
    <row r="51">
      <c r="A51" s="357" t="s">
        <v>191</v>
      </c>
      <c r="B51" s="358"/>
      <c r="C51" s="359">
        <f>sum('Balanced Recipe Data'!U83)/('Balanced Recipe Data'!F21/'Balanced Recipe'!L6)</f>
        <v>38.6471209</v>
      </c>
      <c r="D51" s="333" t="s">
        <v>26</v>
      </c>
      <c r="E51" s="360"/>
      <c r="F51" s="360"/>
      <c r="G51" s="336">
        <f>if(and(I5="Adult Maintenance",I4="Canine"),sum((7.5/1000)*'Balanced Recipe'!L6),if(and(I5="Growth &amp; Development",I4="Canine"),sum((18/1000)*'Balanced Recipe'!L6),if(and(I5="Adult Maintenance",I4="Feline"),sum((20/1000)*'Balanced Recipe'!L6),if(and(I5="Growth &amp; Development",I4="Feline"),sum((17/1000)*'Balanced Recipe'!L6),
if(and(I5="Gestation &amp; Lactation",I4="Canine"),sum(( 17/1000)*'Balanced Recipe'!L6),
if(and(I5="Gestation &amp; Lactation",I4="Feline"),sum(( 20/1000)*'Balanced Recipe'!L6),""))))))</f>
        <v>7.5</v>
      </c>
      <c r="H51" s="336" t="str">
        <f t="shared" si="9"/>
        <v>mg</v>
      </c>
      <c r="I51" s="336">
        <f>if(and(I5="Adult Maintenance",I4="Canine"),sum((7.5/1000)*'Balanced Recipe'!L6),if(and(I5="Growth &amp; Development",I4="Canine"),sum((22/1000)*'Balanced Recipe'!L6),if(and(I5="Adult Maintenance",I4="Feline"),sum((20/1000)*'Balanced Recipe'!L6),if(and(I5="Growth &amp; Development",I4="Feline"),sum((20/1000)*'Balanced Recipe'!L6),
if(and(I5="Gestation &amp; Lactation",I4="Canine"),sum(( 17/1000)*'Balanced Recipe'!L6),
if(and(I5="Gestation &amp; Lactation",I4="Feline"),sum(( 20/1000)*'Balanced Recipe'!L6),""))))))</f>
        <v>7.5</v>
      </c>
      <c r="J51" s="336" t="str">
        <f t="shared" si="10"/>
        <v>mg</v>
      </c>
    </row>
    <row r="52">
      <c r="A52" s="361" t="s">
        <v>192</v>
      </c>
      <c r="B52" s="362"/>
      <c r="C52" s="363">
        <f>sum('Balanced Recipe Data'!U85)/('Balanced Recipe Data'!F21/'Balanced Recipe'!L6)</f>
        <v>3.407982474</v>
      </c>
      <c r="D52" s="340" t="s">
        <v>26</v>
      </c>
      <c r="E52" s="364"/>
      <c r="F52" s="364"/>
      <c r="G52" s="343">
        <f>if(and(I5="Adult Maintenance",I4="Canine"),sum((1.5/1000)*'Balanced Recipe'!L6),if(and(I5="Growth &amp; Development",I4="Canine"),sum((2.7/1000)*'Balanced Recipe'!L6),if(and(I5="Adult Maintenance",I4="Feline"),sum((1.2/1000)*'Balanced Recipe'!L6),if(and(I5="Growth &amp; Development",I4="Feline"),sum((1.2/1000)*'Balanced Recipe'!L6),
if(and(I5="Gestation &amp; Lactation",I4="Canine"),sum((3.1/1000)*'Balanced Recipe'!L6),
if(and(I5="Gestation &amp; Lactation",I4="Feline"),sum(( 1.2/1000)*'Balanced Recipe'!L6),""))))))</f>
        <v>1.5</v>
      </c>
      <c r="H52" s="343" t="str">
        <f t="shared" si="9"/>
        <v>mg</v>
      </c>
      <c r="I52" s="343">
        <f>if(and(I5="Adult Maintenance",I4="Canine"),sum((1.5/1000)*'Balanced Recipe'!L6),if(and(I5="Growth &amp; Development",I4="Canine"),sum((2.7/1000)*'Balanced Recipe'!L6),if(and(I5="Adult Maintenance",I4="Feline"),sum((1.2/1000)*'Balanced Recipe'!L6),if(and(I5="Growth &amp; Development",I4="Feline"),sum((2.1/1000)*'Balanced Recipe'!L6),
if(and(I5="Gestation &amp; Lactation",I4="Canine"),sum((3.1/1000)*'Balanced Recipe'!L6),
if(and(I5="Gestation &amp; Lactation",I4="Feline"),sum(( 1.2/1000)*'Balanced Recipe'!L6),""))))))</f>
        <v>1.5</v>
      </c>
      <c r="J52" s="343" t="str">
        <f t="shared" si="10"/>
        <v>mg</v>
      </c>
    </row>
    <row r="53">
      <c r="A53" s="357" t="s">
        <v>193</v>
      </c>
      <c r="B53" s="358"/>
      <c r="C53" s="359">
        <f>sum('Balanced Recipe Data'!U86)/('Balanced Recipe Data'!F21/'Balanced Recipe'!L6)</f>
        <v>35.15918576</v>
      </c>
      <c r="D53" s="333" t="s">
        <v>26</v>
      </c>
      <c r="E53" s="360"/>
      <c r="F53" s="360"/>
      <c r="G53" s="336">
        <f>if(and(I5="Adult Maintenance",I4="Canine"),sum((15/1000)*'Balanced Recipe'!L6),if(and(I5="Growth &amp; Development",I4="Canine"),sum((10/1000)*'Balanced Recipe'!L6),if(and(I5="Adult Maintenance",I4="Feline"),sum((18.5/1000)*'Balanced Recipe'!L6),if(and(I5="Growth &amp; Development",I4="Feline"),sum((12.5/1000)*'Balanced Recipe'!L6),
if(and(I5="Gestation &amp; Lactation",I4="Canine"),sum((24/1000)*'Balanced Recipe'!L6),
if(and(I5="Gestation &amp; Lactation",I4="Feline"),sum(( 18.5/1000)*'Balanced Recipe'!L6),""))))))</f>
        <v>15</v>
      </c>
      <c r="H53" s="336" t="str">
        <f t="shared" si="9"/>
        <v>mg</v>
      </c>
      <c r="I53" s="336">
        <f>if(and(I5="Adult Maintenance",I4="Canine"),sum((15/1000)*'Balanced Recipe'!L6),if(and(I5="Growth &amp; Development",I4="Canine"),sum((25/1000)*'Balanced Recipe'!L6),if(and(I5="Adult Maintenance",I4="Feline"),sum((18.5/1000)*'Balanced Recipe'!L6),if(and(I5="Growth &amp; Development",I4="Feline"),sum((18.5/1000)*'Balanced Recipe'!L6),
if(and(I5="Gestation &amp; Lactation",I4="Canine"),sum((24/1000)*'Balanced Recipe'!L6),
if(and(I5="Gestation &amp; Lactation",I4="Feline"),sum(( 18.5/1000)*'Balanced Recipe'!L6),""))))))</f>
        <v>15</v>
      </c>
      <c r="J53" s="336" t="str">
        <f t="shared" si="10"/>
        <v>mg</v>
      </c>
    </row>
    <row r="54">
      <c r="A54" s="361" t="s">
        <v>194</v>
      </c>
      <c r="B54" s="362"/>
      <c r="C54" s="363">
        <f>sum('Balanced Recipe Data'!U88)/('Balanced Recipe Data'!F21/'Balanced Recipe'!L6)</f>
        <v>3.108159969</v>
      </c>
      <c r="D54" s="340" t="s">
        <v>26</v>
      </c>
      <c r="E54" s="364"/>
      <c r="F54" s="364"/>
      <c r="G54" s="343">
        <f>if(and(I5="Adult Maintenance",I4="Canine"),sum((1.2/1000)*'Balanced Recipe'!L6),if(and(I5="Growth &amp; Development",I4="Canine"),sum((1.4/1000)*'Balanced Recipe'!L6),if(and(I5="Adult Maintenance",I4="Feline"),sum((1.2/1000)*'Balanced Recipe'!L6),if(and(I5="Growth &amp; Development",I4="Feline"),sum((1.2/1000)*'Balanced Recipe'!L6),
if(and(I5="Gestation &amp; Lactation",I4="Canine"),sum(( 1.8/1000)*'Balanced Recipe'!L6),
if(and(I5="Gestation &amp; Lactation",I4="Feline"),sum(( 1.2/1000)*'Balanced Recipe'!L6),""))))))</f>
        <v>1.2</v>
      </c>
      <c r="H54" s="343" t="str">
        <f t="shared" si="9"/>
        <v>mg</v>
      </c>
      <c r="I54" s="343">
        <f>if(and(I5="Adult Maintenance",I4="Canine"),sum((1.2/1000)*'Balanced Recipe'!L6),if(and(I5="Growth &amp; Development",I4="Canine"),sum((1.4/1000)*'Balanced Recipe'!L6),if(and(I5="Adult Maintenance",I4="Feline"),sum((1.2/1000)*'Balanced Recipe'!L6),if(and(I5="Growth &amp; Development",I4="Feline"),sum((1.2/1000)*'Balanced Recipe'!L6),
if(and(I5="Gestation &amp; Lactation",I4="Canine"),sum(( 1.8/1000)*'Balanced Recipe'!L6),
if(and(I5="Gestation &amp; Lactation",I4="Feline"),sum(( 1.2/1000)*'Balanced Recipe'!L6),""))))))</f>
        <v>1.2</v>
      </c>
      <c r="J54" s="343" t="str">
        <f t="shared" si="10"/>
        <v>mg</v>
      </c>
    </row>
    <row r="55">
      <c r="A55" s="357" t="s">
        <v>195</v>
      </c>
      <c r="B55" s="358"/>
      <c r="C55" s="359">
        <f>sum('Balanced Recipe Data'!U90)/('Balanced Recipe Data'!F21/'Balanced Recipe'!L6)</f>
        <v>172.2880055</v>
      </c>
      <c r="D55" s="333" t="s">
        <v>11</v>
      </c>
      <c r="E55" s="360"/>
      <c r="F55" s="360"/>
      <c r="G55" s="336">
        <f>if(and(I5="Adult Maintenance",I4="Canine"),sum((87.5/1000)*'Balanced Recipe'!L6),if(and(I5="Growth &amp; Development",I4="Canine"),sum((52.5/1000)*'Balanced Recipe'!L6),if(and(I5="Adult Maintenance",I4="Feline"),sum((75/1000)*'Balanced Recipe'!L6),if(and(I5="Growth &amp; Development",I4="Feline"),sum((30/1000)*'Balanced Recipe'!L6),
if(and(I5="Gestation &amp; Lactation",I4="Canine"),sum((87.5/1000)*'Balanced Recipe'!L6),
if(and(I5="Gestation &amp; Lactation",I4="Feline"),sum(( 75/1000)*'Balanced Recipe'!L6),""))))))</f>
        <v>87.5</v>
      </c>
      <c r="H55" s="336" t="str">
        <f t="shared" si="9"/>
        <v>mcg</v>
      </c>
      <c r="I55" s="336">
        <f>if(and(I5="Adult Maintenance",I4="Canine"),sum((87.5/1000)*'Balanced Recipe'!L6),if(and(I5="Growth &amp; Development",I4="Canine"),sum((87.5/1000)*'Balanced Recipe'!L6),if(and(I5="Adult Maintenance",I4="Feline"),sum((75/1000)*'Balanced Recipe'!L6),if(and(I5="Growth &amp; Development",I4="Feline"),sum((75/1000)*'Balanced Recipe'!L6),
if(and(I5="Gestation &amp; Lactation",I4="Canine"),sum((87.5/1000)*'Balanced Recipe'!L6),
if(and(I5="Gestation &amp; Lactation",I4="Feline"),sum(( 75/1000)*'Balanced Recipe'!L6),""))))))</f>
        <v>87.5</v>
      </c>
      <c r="J55" s="336" t="str">
        <f t="shared" si="10"/>
        <v>mcg</v>
      </c>
    </row>
    <row r="56">
      <c r="A56" s="361" t="s">
        <v>196</v>
      </c>
      <c r="B56" s="362"/>
      <c r="C56" s="363">
        <f>'Balanced Recipe Data'!D16</f>
        <v>220</v>
      </c>
      <c r="D56" s="340" t="s">
        <v>11</v>
      </c>
      <c r="E56" s="364"/>
      <c r="F56" s="364"/>
      <c r="G56" s="343">
        <f>if(and(I5="Adult Maintenance",I4="Canine"),sum((175/1000)*'Balanced Recipe'!L6),if(and(I5="Growth &amp; Development",I4="Canine"),sum((220/1000)*'Balanced Recipe'!L6),if(and(I5="Adult Maintenance",I4="Feline"),sum((220/1000)*'Balanced Recipe'!L6),if(and(I5="Growth &amp; Development",I4="Feline"),sum((220/1000)*'Balanced Recipe'!L6),
if(and(I5="Gestation &amp; Lactation",I4="Canine"),sum(( 220/1000)*'Balanced Recipe'!L6),
if(and(I5="Gestation &amp; Lactation",I4="Feline"),sum(( 220/1000)*'Balanced Recipe'!L6),""))))))</f>
        <v>175</v>
      </c>
      <c r="H56" s="343" t="str">
        <f t="shared" si="9"/>
        <v>mcg</v>
      </c>
      <c r="I56" s="343">
        <f>if(and(I5="Adult Maintenance",I4="Canine"),sum((220/1000)*'Balanced Recipe'!L6),if(and(I5="Growth &amp; Development",I4="Canine"),sum((220/1000)*'Balanced Recipe'!L6),if(and(I5="Adult Maintenance",I4="Feline"),sum((220/1000)*'Balanced Recipe'!L6),if(and(I5="Growth &amp; Development",I4="Feline"),sum((220/1000)*'Balanced Recipe'!L6),
if(and(I5="Gestation &amp; Lactation",I4="Canine"),sum(( 220/1000)*'Balanced Recipe'!L6),
if(and(I5="Gestation &amp; Lactation",I4="Feline"),sum(( 350/1000)*'Balanced Recipe'!L6),""))))))</f>
        <v>220</v>
      </c>
      <c r="J56" s="343" t="str">
        <f t="shared" si="10"/>
        <v>mcg</v>
      </c>
    </row>
    <row r="57" hidden="1">
      <c r="A57" s="385" t="s">
        <v>197</v>
      </c>
    </row>
    <row r="58">
      <c r="A58" s="386" t="s">
        <v>198</v>
      </c>
      <c r="B58" s="387"/>
      <c r="C58" s="318"/>
      <c r="D58" s="381"/>
      <c r="E58" s="381"/>
      <c r="F58" s="381"/>
      <c r="G58" s="381"/>
      <c r="H58" s="381"/>
      <c r="I58" s="381"/>
      <c r="J58" s="388"/>
    </row>
    <row r="59">
      <c r="A59" s="355" t="s">
        <v>199</v>
      </c>
      <c r="B59" s="356"/>
      <c r="C59" s="389" t="str">
        <f>'Balanced Recipe Data'!H94</f>
        <v>1.23 : 1</v>
      </c>
      <c r="D59" s="239"/>
      <c r="E59" s="356"/>
      <c r="F59" s="356"/>
      <c r="G59" s="356"/>
      <c r="H59" s="356"/>
      <c r="I59" s="355"/>
      <c r="J59" s="356"/>
    </row>
    <row r="60">
      <c r="A60" s="357" t="s">
        <v>200</v>
      </c>
      <c r="B60" s="358"/>
      <c r="C60" s="390" t="str">
        <f>'Balanced Recipe Data'!S94</f>
        <v>6.68 : 1</v>
      </c>
      <c r="D60" s="248"/>
      <c r="E60" s="358"/>
      <c r="F60" s="358"/>
      <c r="G60" s="358"/>
      <c r="H60" s="358"/>
      <c r="I60" s="358"/>
      <c r="J60" s="358"/>
    </row>
  </sheetData>
  <mergeCells count="21">
    <mergeCell ref="A1:J1"/>
    <mergeCell ref="I3:J3"/>
    <mergeCell ref="I4:J4"/>
    <mergeCell ref="I5:J5"/>
    <mergeCell ref="C8:D8"/>
    <mergeCell ref="G8:H8"/>
    <mergeCell ref="I8:J8"/>
    <mergeCell ref="C43:D43"/>
    <mergeCell ref="G43:H43"/>
    <mergeCell ref="I43:J43"/>
    <mergeCell ref="A46:J46"/>
    <mergeCell ref="A57:J57"/>
    <mergeCell ref="C59:D59"/>
    <mergeCell ref="C60:D60"/>
    <mergeCell ref="C23:D23"/>
    <mergeCell ref="G23:H23"/>
    <mergeCell ref="I23:J23"/>
    <mergeCell ref="C29:D29"/>
    <mergeCell ref="G29:H29"/>
    <mergeCell ref="I29:J29"/>
    <mergeCell ref="A42:J42"/>
  </mergeCells>
  <conditionalFormatting sqref="A9:J9">
    <cfRule type="expression" dxfId="3" priority="1">
      <formula>$C$9&lt;$I$9</formula>
    </cfRule>
  </conditionalFormatting>
  <conditionalFormatting sqref="A19:J19">
    <cfRule type="expression" dxfId="3" priority="2">
      <formula>$C$19&lt;$I$19</formula>
    </cfRule>
  </conditionalFormatting>
  <conditionalFormatting sqref="A11:J11">
    <cfRule type="expression" dxfId="3" priority="3">
      <formula>$C$11&lt;$I$11</formula>
    </cfRule>
  </conditionalFormatting>
  <conditionalFormatting sqref="A12:J12">
    <cfRule type="expression" dxfId="3" priority="4">
      <formula>$C$12&lt;$I$12</formula>
    </cfRule>
  </conditionalFormatting>
  <conditionalFormatting sqref="A13:J13">
    <cfRule type="expression" dxfId="3" priority="5">
      <formula>$C$13&lt;$I$13</formula>
    </cfRule>
  </conditionalFormatting>
  <conditionalFormatting sqref="A14:J14">
    <cfRule type="expression" dxfId="3" priority="6">
      <formula>$C$14&lt;$I$14</formula>
    </cfRule>
  </conditionalFormatting>
  <conditionalFormatting sqref="A15:J15">
    <cfRule type="expression" dxfId="3" priority="7">
      <formula>$C$15&lt;$I$15</formula>
    </cfRule>
  </conditionalFormatting>
  <conditionalFormatting sqref="A16:J16">
    <cfRule type="expression" dxfId="3" priority="8">
      <formula>$C$16&lt;$I$16</formula>
    </cfRule>
  </conditionalFormatting>
  <conditionalFormatting sqref="A17:J17">
    <cfRule type="expression" dxfId="3" priority="9">
      <formula>$C$17&lt;$I$17</formula>
    </cfRule>
  </conditionalFormatting>
  <conditionalFormatting sqref="A18:J18">
    <cfRule type="expression" dxfId="3" priority="10">
      <formula>$C$18&lt;$I$18</formula>
    </cfRule>
  </conditionalFormatting>
  <conditionalFormatting sqref="A10:J10">
    <cfRule type="expression" dxfId="3" priority="11">
      <formula>$C$10&lt;$I$10</formula>
    </cfRule>
  </conditionalFormatting>
  <conditionalFormatting sqref="A20:J20">
    <cfRule type="expression" dxfId="3" priority="12">
      <formula>$C$20&lt;$I$20</formula>
    </cfRule>
  </conditionalFormatting>
  <conditionalFormatting sqref="A21:J21">
    <cfRule type="expression" dxfId="3" priority="13">
      <formula>$C$21&lt;$I$21</formula>
    </cfRule>
  </conditionalFormatting>
  <conditionalFormatting sqref="A22:J22">
    <cfRule type="expression" dxfId="3" priority="14">
      <formula>$C$22&lt;$I$22</formula>
    </cfRule>
  </conditionalFormatting>
  <conditionalFormatting sqref="A28:J28">
    <cfRule type="expression" dxfId="3" priority="15">
      <formula>$C$28&lt;$I$28</formula>
    </cfRule>
  </conditionalFormatting>
  <conditionalFormatting sqref="A25:J25">
    <cfRule type="expression" dxfId="3" priority="16">
      <formula>$C$25&lt;$I$25</formula>
    </cfRule>
  </conditionalFormatting>
  <conditionalFormatting sqref="A24:J24">
    <cfRule type="expression" dxfId="3" priority="17">
      <formula>$C$24&lt;$I$24</formula>
    </cfRule>
  </conditionalFormatting>
  <conditionalFormatting sqref="A27:J27">
    <cfRule type="expression" dxfId="3" priority="18">
      <formula>$C$27&lt;$I$27</formula>
    </cfRule>
  </conditionalFormatting>
  <conditionalFormatting sqref="A30:J30">
    <cfRule type="expression" dxfId="3" priority="19">
      <formula>$C$30&lt;$I$30</formula>
    </cfRule>
  </conditionalFormatting>
  <conditionalFormatting sqref="A31:J31">
    <cfRule type="expression" dxfId="3" priority="20">
      <formula>$C$31&lt;$I$31</formula>
    </cfRule>
  </conditionalFormatting>
  <conditionalFormatting sqref="A32:J32">
    <cfRule type="expression" dxfId="3" priority="21">
      <formula>$C$32&lt;$I$32</formula>
    </cfRule>
  </conditionalFormatting>
  <conditionalFormatting sqref="A33:J33">
    <cfRule type="expression" dxfId="3" priority="22">
      <formula>$C$33&lt;$I$33</formula>
    </cfRule>
  </conditionalFormatting>
  <conditionalFormatting sqref="A34:J34">
    <cfRule type="expression" dxfId="3" priority="23">
      <formula>$C$34&lt;$I$34</formula>
    </cfRule>
  </conditionalFormatting>
  <conditionalFormatting sqref="A35:J35">
    <cfRule type="expression" dxfId="3" priority="24">
      <formula>$C$35&lt;$I$35</formula>
    </cfRule>
  </conditionalFormatting>
  <conditionalFormatting sqref="A36:J36">
    <cfRule type="expression" dxfId="3" priority="25">
      <formula>$C$36&lt;$I$36</formula>
    </cfRule>
  </conditionalFormatting>
  <conditionalFormatting sqref="A37:J37">
    <cfRule type="expression" dxfId="3" priority="26">
      <formula>$C$37&lt;$I$37</formula>
    </cfRule>
  </conditionalFormatting>
  <conditionalFormatting sqref="A38:J38">
    <cfRule type="expression" dxfId="3" priority="27">
      <formula>$C$38&lt;$I$38</formula>
    </cfRule>
  </conditionalFormatting>
  <conditionalFormatting sqref="A39:J39">
    <cfRule type="expression" dxfId="3" priority="28">
      <formula>$C$39&lt;$I$39</formula>
    </cfRule>
  </conditionalFormatting>
  <conditionalFormatting sqref="A40:J40">
    <cfRule type="expression" dxfId="3" priority="29">
      <formula>$C$40&lt;$I$40</formula>
    </cfRule>
  </conditionalFormatting>
  <conditionalFormatting sqref="A41:J41">
    <cfRule type="expression" dxfId="4" priority="30">
      <formula>$C$41&lt;$I$41</formula>
    </cfRule>
  </conditionalFormatting>
  <conditionalFormatting sqref="A44:J44">
    <cfRule type="expression" dxfId="4" priority="31">
      <formula>$C$44&lt;$I$44</formula>
    </cfRule>
  </conditionalFormatting>
  <conditionalFormatting sqref="A45:J45">
    <cfRule type="expression" dxfId="4" priority="32">
      <formula>$C$45&lt;$I$45</formula>
    </cfRule>
  </conditionalFormatting>
  <conditionalFormatting sqref="A50:J50">
    <cfRule type="expression" dxfId="3" priority="33">
      <formula>$C$50&lt;$I$50</formula>
    </cfRule>
  </conditionalFormatting>
  <conditionalFormatting sqref="A48:J48">
    <cfRule type="expression" dxfId="3" priority="34">
      <formula>$C$48&lt;$I$48</formula>
    </cfRule>
  </conditionalFormatting>
  <conditionalFormatting sqref="A49:J49">
    <cfRule type="expression" dxfId="3" priority="35">
      <formula>$C$49&lt;$I$49</formula>
    </cfRule>
  </conditionalFormatting>
  <conditionalFormatting sqref="A47:J47">
    <cfRule type="expression" dxfId="3" priority="36">
      <formula>$C$47&lt;$I$47</formula>
    </cfRule>
  </conditionalFormatting>
  <conditionalFormatting sqref="A51:J51">
    <cfRule type="expression" dxfId="3" priority="37">
      <formula>$C$51&lt;$I$51</formula>
    </cfRule>
  </conditionalFormatting>
  <conditionalFormatting sqref="A52:J52">
    <cfRule type="expression" dxfId="3" priority="38">
      <formula>$C$52&lt;$I$52</formula>
    </cfRule>
  </conditionalFormatting>
  <conditionalFormatting sqref="A53:J53">
    <cfRule type="expression" dxfId="3" priority="39">
      <formula>$C$53&lt;$I$53</formula>
    </cfRule>
  </conditionalFormatting>
  <conditionalFormatting sqref="A54:J54">
    <cfRule type="expression" dxfId="3" priority="40">
      <formula>$C$54&lt;$I$54</formula>
    </cfRule>
  </conditionalFormatting>
  <conditionalFormatting sqref="A55:J55">
    <cfRule type="expression" dxfId="3" priority="41">
      <formula>$C$55&lt;$I$55</formula>
    </cfRule>
  </conditionalFormatting>
  <conditionalFormatting sqref="A56:J56">
    <cfRule type="expression" dxfId="4" priority="42">
      <formula>$C$56&lt;$I$56</formula>
    </cfRule>
  </conditionalFormatting>
  <dataValidations>
    <dataValidation type="list" allowBlank="1" sqref="I5">
      <formula1>"ADULT MAINTENANCE,GROWTH &amp; DEVELOPMENT,GESTATION &amp; LACTATION"</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4" width="15.25"/>
    <col customWidth="1" min="5" max="6" width="1.88"/>
    <col customWidth="1" min="7" max="10" width="15.25"/>
  </cols>
  <sheetData>
    <row r="1">
      <c r="A1" s="201" t="str">
        <f>UPPER(CONCATENATE('Balanced Recipe'!A11," ANALYSIS"))</f>
        <v>BALANCED RECIPE ANALYSIS</v>
      </c>
    </row>
    <row r="2" ht="15.75" customHeight="1">
      <c r="A2" s="305"/>
      <c r="B2" s="284"/>
      <c r="E2" s="306"/>
      <c r="F2" s="306"/>
      <c r="G2" s="306"/>
      <c r="H2" s="284"/>
      <c r="I2" s="306"/>
      <c r="J2" s="306"/>
    </row>
    <row r="3">
      <c r="A3" s="307" t="s">
        <v>140</v>
      </c>
      <c r="B3" s="308"/>
      <c r="C3" s="177"/>
      <c r="D3" s="177"/>
      <c r="E3" s="309"/>
      <c r="F3" s="309"/>
      <c r="G3" s="309"/>
      <c r="H3" s="308"/>
      <c r="I3" s="310" t="s">
        <v>141</v>
      </c>
      <c r="J3" s="177"/>
    </row>
    <row r="4">
      <c r="A4" s="307" t="s">
        <v>142</v>
      </c>
      <c r="B4" s="308"/>
      <c r="C4" s="177"/>
      <c r="D4" s="177"/>
      <c r="E4" s="309"/>
      <c r="F4" s="309"/>
      <c r="G4" s="309"/>
      <c r="H4" s="308"/>
      <c r="I4" s="311" t="str">
        <f>upper(IF('Balanced Recipe Data'!D7="Dog","Canine",IF('Balanced Recipe Data'!D7="Cat","Feline"," ")))</f>
        <v>CANINE</v>
      </c>
      <c r="J4" s="177"/>
    </row>
    <row r="5">
      <c r="A5" s="312" t="s">
        <v>122</v>
      </c>
      <c r="B5" s="313"/>
      <c r="C5" s="179"/>
      <c r="D5" s="179"/>
      <c r="E5" s="314"/>
      <c r="F5" s="314"/>
      <c r="G5" s="314"/>
      <c r="H5" s="313"/>
      <c r="I5" s="315" t="s">
        <v>201</v>
      </c>
      <c r="J5" s="179"/>
    </row>
    <row r="6">
      <c r="A6" s="312" t="s">
        <v>144</v>
      </c>
      <c r="B6" s="313"/>
      <c r="C6" s="179"/>
      <c r="D6" s="179"/>
      <c r="E6" s="179"/>
      <c r="F6" s="313"/>
      <c r="G6" s="313"/>
      <c r="H6" s="313"/>
      <c r="I6" s="177"/>
      <c r="J6" s="316">
        <f>'Balanced Recipe'!L6</f>
        <v>1000</v>
      </c>
    </row>
    <row r="7" ht="15.75" customHeight="1">
      <c r="A7" s="284"/>
      <c r="B7" s="284"/>
      <c r="C7" s="284"/>
      <c r="D7" s="284"/>
      <c r="E7" s="284"/>
      <c r="F7" s="284"/>
      <c r="G7" s="284"/>
      <c r="H7" s="284"/>
      <c r="I7" s="284"/>
      <c r="J7" s="284"/>
    </row>
    <row r="8">
      <c r="A8" s="317" t="s">
        <v>145</v>
      </c>
      <c r="B8" s="318"/>
      <c r="C8" s="319" t="s">
        <v>146</v>
      </c>
      <c r="D8" s="320"/>
      <c r="E8" s="321"/>
      <c r="F8" s="319"/>
      <c r="G8" s="322" t="s">
        <v>147</v>
      </c>
      <c r="H8" s="323"/>
      <c r="I8" s="322" t="s">
        <v>148</v>
      </c>
      <c r="J8" s="323"/>
    </row>
    <row r="9">
      <c r="A9" s="324" t="s">
        <v>149</v>
      </c>
      <c r="B9" s="325"/>
      <c r="C9" s="326">
        <f>sum('Balanced Recipe Data'!F22)/('Balanced Recipe Data'!F21/'Balanced Recipe'!L6)</f>
        <v>108.4428019</v>
      </c>
      <c r="D9" s="327" t="s">
        <v>36</v>
      </c>
      <c r="E9" s="328"/>
      <c r="F9" s="328"/>
      <c r="G9" s="329">
        <f>if(and(I5="Adult Maintenance",I4="Canine"),sum((20/1000)*'Balanced Recipe'!L6),if(and(I5="Growth &amp; Development",I4="Canine"),sum((35/1000)*'Balanced Recipe'!L6),if(and(I5="Adult Maintenance",I4="Feline"),sum((40/1000)*'Balanced Recipe'!L6),if(and(I5="Growth &amp; Development",I4="Feline"),sum((40/1000)*'Balanced Recipe'!L6),if(and(I5="Gestation &amp; Lactation",I4="Canine"),sum(( 50/1000)*'Balanced Recipe'!L6),
if(and(I5="Gestation &amp; Lactation",I4="Feline"),sum((40/1000)*'Balanced Recipe'!L6),""))))))</f>
        <v>35</v>
      </c>
      <c r="H9" s="329" t="str">
        <f t="shared" ref="H9:H22" si="1">D9</f>
        <v>g</v>
      </c>
      <c r="I9" s="329">
        <f>if(and(I5="Adult Maintenance",I4="Canine"),sum((25/1000)*'Balanced Recipe'!L6),if(and(I5="Growth &amp; Development",I4="Canine"),sum((43.8/1000)*'Balanced Recipe'!L6),if(and(I5="Adult Maintenance",I4="Feline"),sum((50/1000)*'Balanced Recipe'!L6),if(and(I5="Growth &amp; Development",I4="Feline"),sum((50/1000)*'Balanced Recipe'!L6),if(and(I5="Gestation &amp; Lactation",I4="Canine"),sum(( 50/1000)*'Balanced Recipe'!L6),
if(and(I5="Gestation &amp; Lactation",I4="Feline"),sum(( 50/1000)*'Balanced Recipe'!L6),""))))))</f>
        <v>43.8</v>
      </c>
      <c r="J9" s="329" t="str">
        <f t="shared" ref="J9:J22" si="2">H9</f>
        <v>g</v>
      </c>
    </row>
    <row r="10">
      <c r="A10" s="330" t="s">
        <v>150</v>
      </c>
      <c r="B10" s="331"/>
      <c r="C10" s="332">
        <f>sum('Balanced Recipe Data'!I50)/('Balanced Recipe Data'!F21/'Balanced Recipe'!L6)</f>
        <v>7.255704623</v>
      </c>
      <c r="D10" s="333" t="s">
        <v>36</v>
      </c>
      <c r="E10" s="334"/>
      <c r="F10" s="334"/>
      <c r="G10" s="335">
        <f>if(and(I5="Adult Maintenance",I4="Canine"),sum((0.7/1000)*'Balanced Recipe'!L6),if(and(I5="Growth &amp; Development",I4="Canine"),sum((1.33/1000)*'Balanced Recipe'!L6),if(and(I5="Adult Maintenance",I4="Feline"),sum((1.93/1000)*'Balanced Recipe'!L6),if(and(I5="Growth &amp; Development",I4="Feline"),sum((1.93/1000)*'Balanced Recipe'!L6),if(and(I5="Gestation &amp; Lactation",I4="Canine"),sum((2.5/1000)*'Balanced Recipe'!L6),
if(and(I5="Gestation &amp; Lactation",I4="Feline"),sum(( 1.93/1000)*'Balanced Recipe'!L6),""))))))</f>
        <v>1.33</v>
      </c>
      <c r="H10" s="336" t="str">
        <f t="shared" si="1"/>
        <v>g</v>
      </c>
      <c r="I10" s="335">
        <f>if(and(I5="Adult Maintenance",I4="Canine"),sum((0.88/1000)*'Balanced Recipe'!L6),if(and(I5="Growth &amp; Development",I4="Canine"),sum((1.65/1000)*'Balanced Recipe'!L6),if(and(I5="Adult Maintenance",I4="Feline"),sum((1.93/1000)*'Balanced Recipe'!L6),if(and(I5="Growth &amp; Development",I4="Feline"),sum((1.93/1000)*'Balanced Recipe'!L6),if(and(I5="Gestation &amp; Lactation",I4="Canine"),sum(( 2.5/1000)*'Balanced Recipe'!L6),
if(and(I5="Gestation &amp; Lactation",I4="Feline"),sum(( 1.93/1000)*'Balanced Recipe'!L6),""))))))</f>
        <v>1.65</v>
      </c>
      <c r="J10" s="336" t="str">
        <f t="shared" si="2"/>
        <v>g</v>
      </c>
    </row>
    <row r="11">
      <c r="A11" s="337" t="s">
        <v>151</v>
      </c>
      <c r="B11" s="338"/>
      <c r="C11" s="339">
        <f>sum('Balanced Recipe Data'!I51)/('Balanced Recipe Data'!F21/'Balanced Recipe'!L6)</f>
        <v>3.158130387</v>
      </c>
      <c r="D11" s="340" t="s">
        <v>36</v>
      </c>
      <c r="E11" s="341"/>
      <c r="F11" s="341"/>
      <c r="G11" s="342">
        <f>if(and(I5="Adult Maintenance",I4="Canine"),sum((0.37/1000)*'Balanced Recipe'!L6),if(and(I5="Growth &amp; Development",I4="Canine"),sum((0.5/1000)*'Balanced Recipe'!L6),if(and(I5="Adult Maintenance",I4="Feline"),sum((0.65/1000)*'Balanced Recipe'!L6),if(and(I5="Growth &amp; Development",I4="Feline"),sum((0.65/1000)*'Balanced Recipe'!L6),if(and(I5="Gestation &amp; Lactation",I4="Canine"),sum(( 1.1/1000)*'Balanced Recipe'!L6),
if(and(I5="Gestation &amp; Lactation",I4="Feline"),sum(( 0.65/1000)*'Balanced Recipe'!L6),""))))))</f>
        <v>0.5</v>
      </c>
      <c r="H11" s="343" t="str">
        <f t="shared" si="1"/>
        <v>g</v>
      </c>
      <c r="I11" s="342">
        <f>if(and(I5="Adult Maintenance",I4="Canine"),sum((0.48/1000)*'Balanced Recipe'!L6),if(and(I5="Growth &amp; Development",I4="Canine"),sum((0.63/1000)*'Balanced Recipe'!L6),if(and(I5="Adult Maintenance",I4="Feline"),sum((0.65/1000)*'Balanced Recipe'!L6),if(and(I5="Growth &amp; Development",I4="Feline"),sum((0.65/1000)*'Balanced Recipe'!L6),if(and(I5="Gestation &amp; Lactation",I4="Canine"),sum(( 1.1/1000)*'Balanced Recipe'!L6),
if(and(I5="Gestation &amp; Lactation",I4="Feline"),sum(( 0.65/1000)*'Balanced Recipe'!L6),""))))))</f>
        <v>0.63</v>
      </c>
      <c r="J11" s="343" t="str">
        <f t="shared" si="2"/>
        <v>g</v>
      </c>
    </row>
    <row r="12">
      <c r="A12" s="330" t="s">
        <v>152</v>
      </c>
      <c r="B12" s="331"/>
      <c r="C12" s="332">
        <f>sum('Balanced Recipe Data'!I52)/('Balanced Recipe Data'!F21/'Balanced Recipe'!L6)</f>
        <v>5.146953004</v>
      </c>
      <c r="D12" s="333" t="s">
        <v>36</v>
      </c>
      <c r="E12" s="334"/>
      <c r="F12" s="334"/>
      <c r="G12" s="335">
        <f>if(and(I5="Adult Maintenance",I4="Canine"),sum((0.75/1000)*'Balanced Recipe'!L6),if(and(I5="Growth &amp; Development",I4="Canine"),sum((1/1000)*'Balanced Recipe'!L6),if(and(I5="Adult Maintenance",I4="Feline"),sum((1.08/1000)*'Balanced Recipe'!L6),if(and(I5="Growth &amp; Development",I4="Feline"),sum((1.08/1000)*'Balanced Recipe'!L6),if(and(I5="Gestation &amp; Lactation",I4="Canine"),sum(( 1.78/1000)*'Balanced Recipe'!L6),
if(and(I5="Gestation &amp; Lactation",I4="Feline"),sum(( 1.08/1000)*'Balanced Recipe'!L6),""))))))</f>
        <v>1</v>
      </c>
      <c r="H12" s="336" t="str">
        <f t="shared" si="1"/>
        <v>g</v>
      </c>
      <c r="I12" s="335">
        <f>if(and(I5="Adult Maintenance",I4="Canine"),sum((0.95/1000)*'Balanced Recipe'!L6),if(and(I5="Growth &amp; Development",I4="Canine"),sum((1.25/1000)*'Balanced Recipe'!L6),if(and(I5="Adult Maintenance",I4="Feline"),sum((1.08/1000)*'Balanced Recipe'!L6),if(and(I5="Growth &amp; Development",I4="Feline"),sum((1.08/1000)*'Balanced Recipe'!L6),if(and(I5="Gestation &amp; Lactation",I4="Canine"),sum(( 1.78/1000)*'Balanced Recipe'!L6),
if(and(I5="Gestation &amp; Lactation",I4="Feline"),sum(( 1.08/1000)*'Balanced Recipe'!L6),""))))))</f>
        <v>1.25</v>
      </c>
      <c r="J12" s="336" t="str">
        <f t="shared" si="2"/>
        <v>g</v>
      </c>
    </row>
    <row r="13">
      <c r="A13" s="337" t="s">
        <v>153</v>
      </c>
      <c r="B13" s="338"/>
      <c r="C13" s="339">
        <f>sum('Balanced Recipe Data'!I53)/('Balanced Recipe Data'!F21/'Balanced Recipe'!L6)</f>
        <v>2.828325631</v>
      </c>
      <c r="D13" s="340" t="s">
        <v>36</v>
      </c>
      <c r="E13" s="341"/>
      <c r="F13" s="341"/>
      <c r="G13" s="342">
        <f>if(and(I5="Adult Maintenance",I4="Canine"),sum((0.65/1000)*'Balanced Recipe'!L6),if(and(I5="Growth &amp; Development",I4="Canine"),sum((0.53/1000)*'Balanced Recipe'!L6),if(and(I5="Adult Maintenance",I4="Feline"),sum((0.34/1000)*'Balanced Recipe'!L6),if(and(I5="Growth &amp; Development",I4="Feline"),sum((0.34/1000)*'Balanced Recipe'!L6),if(and(I5="Gestation &amp; Lactation",I4="Canine"),sum(( 0.78/1000)*'Balanced Recipe'!L6),
if(and(I5="Gestation &amp; Lactation",I4="Feline"),sum((0.34/1000)*'Balanced Recipe'!L6),""))))))</f>
        <v>0.53</v>
      </c>
      <c r="H13" s="343" t="str">
        <f t="shared" si="1"/>
        <v>g</v>
      </c>
      <c r="I13" s="342">
        <f>if(and(I5="Adult Maintenance",I4="Canine"),sum((0.83/1000)*'Balanced Recipe'!L6),if(and(I5="Growth &amp; Development",I4="Canine"),sum((0.65/1000)*'Balanced Recipe'!L6),if(and(I5="Adult Maintenance",I4="Feline"),sum((0.43/1000)*'Balanced Recipe'!L6),if(and(I5="Growth &amp; Development",I4="Feline"),sum((0.43/1000)*'Balanced Recipe'!L6),if(and(I5="Gestation &amp; Lactation",I4="Canine"),sum(( 0.78/1000)*'Balanced Recipe'!L6),
if(and(I5="Gestation &amp; Lactation",I4="Feline"),sum(( 0.43/1000)*'Balanced Recipe'!L6),""))))))</f>
        <v>0.65</v>
      </c>
      <c r="J13" s="343" t="str">
        <f t="shared" si="2"/>
        <v>g</v>
      </c>
    </row>
    <row r="14">
      <c r="A14" s="330" t="s">
        <v>154</v>
      </c>
      <c r="B14" s="331"/>
      <c r="C14" s="332">
        <f>sum('Balanced Recipe Data'!I55)/('Balanced Recipe Data'!F21/'Balanced Recipe'!L6)</f>
        <v>4.297455906</v>
      </c>
      <c r="D14" s="333" t="s">
        <v>36</v>
      </c>
      <c r="E14" s="334"/>
      <c r="F14" s="334"/>
      <c r="G14" s="335">
        <f>if(and(I5="Adult Maintenance",I4="Canine"),sum((1.3/1000)*'Balanced Recipe'!L6),if(and(I5="Growth &amp; Development",I4="Canine"),sum((1.05/1000)*'Balanced Recipe'!L6),if(and(I5="Adult Maintenance",I4="Feline"),sum((0.68/1000)*'Balanced Recipe'!L6),if(and(I5="Growth &amp; Development",I4="Feline"),sum((0.68/1000)*'Balanced Recipe'!L6),if(and(I5="Gestation &amp; Lactation",I4="Canine"),sum(( 1.55/1000)*'Balanced Recipe'!L6),
if(and(I5="Gestation &amp; Lactation",I4="Feline"),sum((0.68/1000)*'Balanced Recipe'!L6),""))))))</f>
        <v>1.05</v>
      </c>
      <c r="H14" s="336" t="str">
        <f t="shared" si="1"/>
        <v>g</v>
      </c>
      <c r="I14" s="335">
        <f>if(and(I5="Adult Maintenance",I4="Canine"),sum((1.63/1000)*'Balanced Recipe'!L6),if(and(I5="Growth &amp; Development",I4="Canine"),sum((1.33/1000)*'Balanced Recipe'!L6),if(and(I5="Adult Maintenance",I4="Feline"),sum((0.85/1000)*'Balanced Recipe'!L6),if(and(I5="Growth &amp; Development",I4="Feline"),sum((0.85/1000)*'Balanced Recipe'!L6),if(and(I5="Gestation &amp; Lactation",I4="Canine"),sum(( 1.55/1000)*'Balanced Recipe'!L6),
if(and(I5="Gestation &amp; Lactation",I4="Feline"),sum(( 0.85/1000)*'Balanced Recipe'!L6),""))))))</f>
        <v>1.33</v>
      </c>
      <c r="J14" s="336" t="str">
        <f t="shared" si="2"/>
        <v>g</v>
      </c>
    </row>
    <row r="15">
      <c r="A15" s="337" t="s">
        <v>155</v>
      </c>
      <c r="B15" s="338"/>
      <c r="C15" s="339">
        <f>sum('Balanced Recipe Data'!I56)/('Balanced Recipe Data'!F21/'Balanced Recipe'!L6)</f>
        <v>9.07462782</v>
      </c>
      <c r="D15" s="340" t="s">
        <v>36</v>
      </c>
      <c r="E15" s="341"/>
      <c r="F15" s="341"/>
      <c r="G15" s="342">
        <f>if(and(I5="Adult Maintenance",I4="Canine"),sum((1.35/1000)*'Balanced Recipe'!L6),if(and(I5="Growth &amp; Development",I4="Canine"),sum((1.63/1000)*'Balanced Recipe'!L6),if(and(I5="Adult Maintenance",I4="Feline"),sum((2.55/1000)*'Balanced Recipe'!L6),if(and(I5="Growth &amp; Development",I4="Feline"),sum((2.55/1000)*'Balanced Recipe'!L6),if(and(I5="Gestation &amp; Lactation",I4="Canine"),sum((5/1000)*'Balanced Recipe'!L6),
if(and(I5="Gestation &amp; Lactation",I4="Feline"),sum((2.55/1000)*'Balanced Recipe'!L6),""))))))</f>
        <v>1.63</v>
      </c>
      <c r="H15" s="343" t="str">
        <f t="shared" si="1"/>
        <v>g</v>
      </c>
      <c r="I15" s="342">
        <f>if(and(I5="Adult Maintenance",I4="Canine"),sum((1.7/1000)*'Balanced Recipe'!L6),if(and(I5="Growth &amp; Development",I4="Canine"),sum((2.05/1000)*'Balanced Recipe'!L6),if(and(I5="Adult Maintenance",I4="Feline"),sum((2.55/1000)*'Balanced Recipe'!L6),if(and(I5="Growth &amp; Development",I4="Feline"),sum((2.55/1000)*'Balanced Recipe'!L6),if(and(I5="Gestation &amp; Lactation",I4="Canine"),sum(( 5/1000)*'Balanced Recipe'!L6),
if(and(I5="Gestation &amp; Lactation",I4="Feline"),sum(( 2.55/1000)*'Balanced Recipe'!L6),""))))))</f>
        <v>2.05</v>
      </c>
      <c r="J15" s="343" t="str">
        <f t="shared" si="2"/>
        <v>g</v>
      </c>
    </row>
    <row r="16">
      <c r="A16" s="330" t="s">
        <v>156</v>
      </c>
      <c r="B16" s="331"/>
      <c r="C16" s="332">
        <f>sum('Balanced Recipe Data'!I57)/('Balanced Recipe Data'!F21/'Balanced Recipe'!L6)</f>
        <v>10.00407759</v>
      </c>
      <c r="D16" s="333" t="s">
        <v>36</v>
      </c>
      <c r="E16" s="334"/>
      <c r="F16" s="334"/>
      <c r="G16" s="335">
        <f>if(and(I5="Adult Maintenance",I4="Canine"),sum((0.7/1000)*'Balanced Recipe'!L6),if(and(I5="Growth &amp; Development",I4="Canine"),sum((1.4/1000)*'Balanced Recipe'!L6),if(and(I5="Adult Maintenance",I4="Feline"),sum((0.68/1000)*'Balanced Recipe'!L6),if(and(I5="Growth &amp; Development",I4="Feline"),sum((0.68/1000)*'Balanced Recipe'!L6),if(and(I5="Gestation &amp; Lactation",I4="Canine"),sum(( 2.25/1000)*'Balanced Recipe'!L6),
if(and(I5="Gestation &amp; Lactation",I4="Feline"),sum((0.68/1000)*'Balanced Recipe'!L6),""))))))</f>
        <v>1.4</v>
      </c>
      <c r="H16" s="336" t="str">
        <f t="shared" si="1"/>
        <v>g</v>
      </c>
      <c r="I16" s="335">
        <f>if(and(I5="Adult Maintenance",I4="Canine"),sum((0.88/1000)*'Balanced Recipe'!L6),if(and(I5="Growth &amp; Development",I4="Canine"),sum((1.75/1000)*'Balanced Recipe'!L6),if(and(I5="Adult Maintenance",I4="Feline"),sum((0.85/1000)*'Balanced Recipe'!L6),if(and(I5="Growth &amp; Development",I4="Feline"),sum((0.85/1000)*'Balanced Recipe'!L6),if(and(I5="Gestation &amp; Lactation",I4="Canine"),sum(( 2.25/1000)*'Balanced Recipe'!L6),
if(and(I5="Gestation &amp; Lactation",I4="Feline"),sum(( 0.85/1000)*'Balanced Recipe'!L6),""))))))</f>
        <v>1.75</v>
      </c>
      <c r="J16" s="336" t="str">
        <f t="shared" si="2"/>
        <v>g</v>
      </c>
    </row>
    <row r="17">
      <c r="A17" s="337" t="s">
        <v>157</v>
      </c>
      <c r="B17" s="338"/>
      <c r="C17" s="339">
        <f>sum('Balanced Recipe Data'!I58)/('Balanced Recipe Data'!F21/'Balanced Recipe'!L6)</f>
        <v>4.787165998</v>
      </c>
      <c r="D17" s="340" t="s">
        <v>36</v>
      </c>
      <c r="E17" s="341"/>
      <c r="F17" s="341"/>
      <c r="G17" s="342">
        <f>if(and(I5="Adult Maintenance",I4="Canine"),sum((0.9/1000)*'Balanced Recipe'!L6),if(and(I5="Growth &amp; Development",I4="Canine"),sum((1/1000)*'Balanced Recipe'!L6),if(and(I5="Adult Maintenance",I4="Feline"),sum((1/1000)*'Balanced Recipe'!L6),if(and(I5="Growth &amp; Development",I4="Feline"),sum((1/1000)*'Balanced Recipe'!L6),if(and(I5="Gestation &amp; Lactation",I4="Canine"),sum(( 2.08/1000)*'Balanced Recipe'!L6),
if(and(I5="Gestation &amp; Lactation",I4="Feline"),sum(( 1/1000)*'Balanced Recipe'!L6),""))))))</f>
        <v>1</v>
      </c>
      <c r="H17" s="343" t="str">
        <f t="shared" si="1"/>
        <v>g</v>
      </c>
      <c r="I17" s="342">
        <f>if(and(I5="Adult Maintenance",I4="Canine"),sum((1.13/1000)*'Balanced Recipe'!L6),if(and(I5="Growth &amp; Development",I4="Canine"),sum((1.25/1000)*'Balanced Recipe'!L6),if(and(I5="Adult Maintenance",I4="Feline"),sum((1/1000)*'Balanced Recipe'!L6),if(and(I5="Growth &amp; Development",I4="Feline"),sum((1/1000)*'Balanced Recipe'!L6),if(and(I5="Gestation &amp; Lactation",I4="Canine"),sum(( 2.08/1000)*'Balanced Recipe'!L6),
if(and(I5="Gestation &amp; Lactation",I4="Feline"),sum(( 1/1000)*'Balanced Recipe'!L6),""))))))</f>
        <v>1.25</v>
      </c>
      <c r="J17" s="343" t="str">
        <f t="shared" si="2"/>
        <v>g</v>
      </c>
    </row>
    <row r="18">
      <c r="A18" s="330" t="s">
        <v>158</v>
      </c>
      <c r="B18" s="331"/>
      <c r="C18" s="332">
        <f>sum('Balanced Recipe Data'!I60)/('Balanced Recipe Data'!F21/'Balanced Recipe'!L6)</f>
        <v>8.904728401</v>
      </c>
      <c r="D18" s="333" t="s">
        <v>36</v>
      </c>
      <c r="E18" s="334"/>
      <c r="F18" s="334"/>
      <c r="G18" s="335">
        <f>if(and(I5="Adult Maintenance",I4="Canine"),sum((1.48/1000)*'Balanced Recipe'!L6),if(and(I5="Growth &amp; Development",I4="Canine"),sum((2/1000)*'Balanced Recipe'!L6),if(and(I5="Adult Maintenance",I4="Feline"),sum((3.83/1000)*'Balanced Recipe'!L6),if(and(I5="Growth &amp; Development",I4="Feline"),sum((3.83/1000)*'Balanced Recipe'!L6),if(and(I5="Gestation &amp; Lactation",I4="Canine"),sum(( 3.08/1000)*'Balanced Recipe'!L6),
if(and(I5="Gestation &amp; Lactation",I4="Feline"),sum(( 3.83/1000)*'Balanced Recipe'!L6),""))))))</f>
        <v>2</v>
      </c>
      <c r="H18" s="336" t="str">
        <f t="shared" si="1"/>
        <v>g</v>
      </c>
      <c r="I18" s="335">
        <f>if(and(I5="Adult Maintenance",I4="Canine"),sum((1.85/1000)*'Balanced Recipe'!L6),if(and(I5="Growth &amp; Development",I4="Canine"),sum((2.5/1000)*'Balanced Recipe'!L6),if(and(I5="Adult Maintenance",I4="Feline"),sum((3.83/1000)*'Balanced Recipe'!L6),if(and(I5="Growth &amp; Development",I4="Feline"),sum((3.83/1000)*'Balanced Recipe'!L6),if(and(I5="Gestation &amp; Lactation",I4="Canine"),sum(( 3.08/1000)*'Balanced Recipe'!L6),
if(and(I5="Gestation &amp; Lactation",I4="Feline"),sum(( 3.83/1000)*'Balanced Recipe'!L6),""))))))</f>
        <v>2.5</v>
      </c>
      <c r="J18" s="336" t="str">
        <f t="shared" si="2"/>
        <v>g</v>
      </c>
    </row>
    <row r="19">
      <c r="A19" s="337" t="s">
        <v>159</v>
      </c>
      <c r="B19" s="338"/>
      <c r="C19" s="339">
        <f>sum('Balanced Recipe Data'!I61)/('Balanced Recipe Data'!F21/'Balanced Recipe'!L6)</f>
        <v>5.096982586</v>
      </c>
      <c r="D19" s="340" t="s">
        <v>36</v>
      </c>
      <c r="E19" s="341"/>
      <c r="F19" s="341"/>
      <c r="G19" s="342">
        <f>if(and(I5="Adult Maintenance",I4="Canine"),sum((0.85/1000)*'Balanced Recipe'!L6),if(and(I5="Growth &amp; Development",I4="Canine"),sum((1.25/1000)*'Balanced Recipe'!L6),if(and(I5="Adult Maintenance",I4="Feline"),sum((1.3/1000)*'Balanced Recipe'!L6),if(and(I5="Growth &amp; Development",I4="Feline"),sum((1.3/1000)*'Balanced Recipe'!L6),if(and(I5="Gestation &amp; Lactation",I4="Canine"),sum(( 2.6/1000)*'Balanced Recipe'!L6),
if(and(I5="Gestation &amp; Lactation",I4="Feline"),sum(( 1.3/1000)*'Balanced Recipe'!L6),""))))))</f>
        <v>1.25</v>
      </c>
      <c r="H19" s="343" t="str">
        <f t="shared" si="1"/>
        <v>g</v>
      </c>
      <c r="I19" s="342">
        <f>if(and(I5="Adult Maintenance",I4="Canine"),sum((1.08/1000)*'Balanced Recipe'!L6),if(and(I5="Growth &amp; Development",I4="Canine"),sum((1.58/1000)*'Balanced Recipe'!L6),if(and(I5="Adult Maintenance",I4="Feline"),sum((1.3/1000)*'Balanced Recipe'!L6),if(and(I5="Growth &amp; Development",I4="Feline"),sum((1.3/1000)*'Balanced Recipe'!L6),if(and(I5="Gestation &amp; Lactation",I4="Canine"),sum(( 2.6/1000)*'Balanced Recipe'!L6),
if(and(I5="Gestation &amp; Lactation",I4="Feline"),sum(( 1.3/1000)*'Balanced Recipe'!L6),""))))))</f>
        <v>1.58</v>
      </c>
      <c r="J19" s="343" t="str">
        <f t="shared" si="2"/>
        <v>g</v>
      </c>
    </row>
    <row r="20">
      <c r="A20" s="330" t="s">
        <v>160</v>
      </c>
      <c r="B20" s="331"/>
      <c r="C20" s="332">
        <f>sum('Balanced Recipe Data'!I62)/('Balanced Recipe Data'!F21/'Balanced Recipe'!L6)</f>
        <v>1.509106609</v>
      </c>
      <c r="D20" s="333" t="s">
        <v>36</v>
      </c>
      <c r="E20" s="334"/>
      <c r="F20" s="334"/>
      <c r="G20" s="335">
        <f>if(and(I5="Adult Maintenance",I4="Canine"),sum((0.28/1000)*'Balanced Recipe'!L6),if(and(I5="Growth &amp; Development",I4="Canine"),sum((0.35/1000)*'Balanced Recipe'!L6),if(and(I5="Adult Maintenance",I4="Feline"),sum((0.33/1000)*'Balanced Recipe'!L6),if(and(I5="Growth &amp; Development",I4="Feline"),sum((0.33/1000)*'Balanced Recipe'!L6),if(and(I5="Gestation &amp; Lactation",I4="Canine"),sum(( 0.3/1000)*'Balanced Recipe'!L6),
if(and(I5="Gestation &amp; Lactation",I4="Feline"),sum(( 0.33/1000)*'Balanced Recipe'!L6),""))))))</f>
        <v>0.35</v>
      </c>
      <c r="H20" s="336" t="str">
        <f t="shared" si="1"/>
        <v>g</v>
      </c>
      <c r="I20" s="335">
        <f>if(and(I5="Adult Maintenance",I4="Canine"),sum((0.35/1000)*'Balanced Recipe'!L6),if(and(I5="Growth &amp; Development",I4="Canine"),sum((0.45/1000)*'Balanced Recipe'!L6),if(and(I5="Adult Maintenance",I4="Feline"),sum((0.33/1000)*'Balanced Recipe'!L6),if(and(I5="Growth &amp; Development",I4="Feline"),sum((0.33/1000)*'Balanced Recipe'!L6),if(and(I5="Gestation &amp; Lactation",I4="Canine"),sum(( 0.3/1000)*'Balanced Recipe'!L6),
if(and(I5="Gestation &amp; Lactation",I4="Feline"),sum(( 0.33/1000)*'Balanced Recipe'!L6),""))))))</f>
        <v>0.45</v>
      </c>
      <c r="J20" s="336" t="str">
        <f t="shared" si="2"/>
        <v>g</v>
      </c>
    </row>
    <row r="21">
      <c r="A21" s="344" t="s">
        <v>161</v>
      </c>
      <c r="B21" s="345"/>
      <c r="C21" s="339">
        <f>sum('Balanced Recipe Data'!I63)/('Balanced Recipe Data'!F21/'Balanced Recipe'!L6)</f>
        <v>5.656651262</v>
      </c>
      <c r="D21" s="340" t="s">
        <v>36</v>
      </c>
      <c r="E21" s="341"/>
      <c r="F21" s="341"/>
      <c r="G21" s="342">
        <f>if(and(I5="Adult Maintenance",I4="Canine"),sum((0.98/1000)*'Balanced Recipe'!L6),if(and(I5="Growth &amp; Development",I4="Canine"),sum((1.13/1000)*'Balanced Recipe'!L6),if(and(I5="Adult Maintenance",I4="Feline"),sum((1.28/1000)*'Balanced Recipe'!L6),if(and(I5="Growth &amp; Development",I4="Feline"),sum((1.28/1000)*'Balanced Recipe'!L6),if(and(I5="Gestation &amp; Lactation",I4="Canine"),sum(( 3.25/1000)*'Balanced Recipe'!L6),
if(and(I5="Gestation &amp; Lactation",I4="Feline"),sum(( 1.28/1000)*'Balanced Recipe'!L6),""))))))</f>
        <v>1.13</v>
      </c>
      <c r="H21" s="343" t="str">
        <f t="shared" si="1"/>
        <v>g</v>
      </c>
      <c r="I21" s="342">
        <f>if(and(I5="Adult Maintenance",I4="Canine"),sum((1.23/1000)*'Balanced Recipe'!L6),if(and(I5="Growth &amp; Development",I4="Canine"),sum((1.4/1000)*'Balanced Recipe'!L6),if(and(I5="Adult Maintenance",I4="Feline"),sum((1.28/1000)*'Balanced Recipe'!L6),if(and(I5="Growth &amp; Development",I4="Feline"),sum((1.28/1000)*'Balanced Recipe'!L6),if(and(I5="Gestation &amp; Lactation",I4="Canine"),sum(( 3.25/1000)*'Balanced Recipe'!L6),
if(and(I5="Gestation &amp; Lactation",I4="Feline"),sum(( 1.28/1000)*'Balanced Recipe'!L6),""))))))</f>
        <v>1.4</v>
      </c>
      <c r="J21" s="343" t="str">
        <f t="shared" si="2"/>
        <v>g</v>
      </c>
    </row>
    <row r="22">
      <c r="A22" s="346" t="s">
        <v>162</v>
      </c>
      <c r="B22" s="347"/>
      <c r="C22" s="348">
        <f>sum('Balanced Recipe Data'!I66)/('Balanced Recipe Data'!F21/'Balanced Recipe'!L6)</f>
        <v>0</v>
      </c>
      <c r="D22" s="349" t="s">
        <v>36</v>
      </c>
      <c r="E22" s="350"/>
      <c r="F22" s="350"/>
      <c r="G22" s="351">
        <f>if(and(I5="Adult Maintenance",I4="Feline"),sum((0.08/1000)*'Balanced Recipe'!L6),if(and(I5="Growth &amp; Development",I4="Feline"),sum((0.1/1000)*'Balanced Recipe'!L6),if(and(I5="Gestation &amp; Lactation",I4="Feline"),sum((0.08/1000)*'Balanced Recipe'!L6),0)))</f>
        <v>0</v>
      </c>
      <c r="H22" s="352" t="str">
        <f t="shared" si="1"/>
        <v>g</v>
      </c>
      <c r="I22" s="351">
        <f>if(and(I5="Adult Maintenance",I4="Feline"),sum((0.1/1000)*'Balanced Recipe'!L6),if(and(I5="Growth &amp; Development",I4="Feline"),sum((0.1/1000)*'Balanced Recipe'!L6),if(and(I5="Gestation &amp; Lactation",I4="Feline"),sum((0.1/1000)*'Balanced Recipe'!L6),0)))</f>
        <v>0</v>
      </c>
      <c r="J22" s="352" t="str">
        <f t="shared" si="2"/>
        <v>g</v>
      </c>
    </row>
    <row r="23">
      <c r="A23" s="317" t="s">
        <v>163</v>
      </c>
      <c r="B23" s="318"/>
      <c r="C23" s="353" t="s">
        <v>146</v>
      </c>
      <c r="D23" s="320"/>
      <c r="E23" s="354"/>
      <c r="F23" s="354"/>
      <c r="G23" s="353" t="s">
        <v>147</v>
      </c>
      <c r="H23" s="320"/>
      <c r="I23" s="353" t="s">
        <v>148</v>
      </c>
      <c r="J23" s="323"/>
    </row>
    <row r="24">
      <c r="A24" s="355" t="s">
        <v>164</v>
      </c>
      <c r="B24" s="356"/>
      <c r="C24" s="326">
        <f>sum('Balanced Recipe Data'!F23)/('Balanced Recipe Data'!F21/'Balanced Recipe'!L6)</f>
        <v>54.40479236</v>
      </c>
      <c r="D24" s="327" t="s">
        <v>36</v>
      </c>
      <c r="E24" s="328"/>
      <c r="F24" s="328"/>
      <c r="G24" s="329">
        <f>if(and(I5="Adult Maintenance",I4="Canine"),sum((10/1000)*'Balanced Recipe'!L6),if(and(I5="Growth &amp; Development",I4="Canine"),sum((21.3/1000)*'Balanced Recipe'!L6),if(and(I5="Adult Maintenance",I4="Feline"),sum((22.5/1000)*'Balanced Recipe'!L6),if(and(I5="Growth &amp; Development",I4="Feline"),sum((22.5/1000)*'Balanced Recipe'!L6),
if(and(I5="Gestation &amp; Lactation",I4="Canine"),sum(( 21.3/1000)*'Balanced Recipe'!L6),
if(and(I5="Gestation &amp; Lactation",I4="Feline"),sum(( 22.5/1000)*'Balanced Recipe'!L6),""))))))</f>
        <v>21.3</v>
      </c>
      <c r="H24" s="329" t="str">
        <f t="shared" ref="H24:H28" si="3">D24</f>
        <v>g</v>
      </c>
      <c r="I24" s="329">
        <f>if(and(I5="Adult Maintenance",I4="Canine"),sum((13.8/1000)*'Balanced Recipe'!L6),if(and(I5="Growth &amp; Development",I4="Canine"),sum((21.3/1000)*'Balanced Recipe'!L6),if(and(I5="Adult Maintenance",I4="Feline"),sum((22.5/1000)*'Balanced Recipe'!L6),if(and(I5="Growth &amp; Development",I4="Feline"),sum((22.5/1000)*'Balanced Recipe'!L6),
if(and(I5="Gestation &amp; Lactation",I4="Canine"),sum(( 21.3/1000)*'Balanced Recipe'!L6),
if(and(I5="Gestation &amp; Lactation",I4="Feline"),sum(( 22.5/1000)*'Balanced Recipe'!L6),""))))))</f>
        <v>21.3</v>
      </c>
      <c r="J24" s="329" t="str">
        <f t="shared" ref="J24:J28" si="4">H24</f>
        <v>g</v>
      </c>
    </row>
    <row r="25">
      <c r="A25" s="357" t="s">
        <v>165</v>
      </c>
      <c r="B25" s="358"/>
      <c r="C25" s="359">
        <f>sum('Balanced Recipe Data'!I69)/('Balanced Recipe Data'!F21/'Balanced Recipe'!L6)</f>
        <v>6.915905784</v>
      </c>
      <c r="D25" s="333" t="s">
        <v>36</v>
      </c>
      <c r="E25" s="360"/>
      <c r="F25" s="360"/>
      <c r="G25" s="336">
        <f>if(and(I5="Adult Maintenance",I4="Canine"),sum((2.4/1000)*'Balanced Recipe'!L6),if(and(I5="Growth &amp; Development",I4="Canine"),sum((3/1000)*'Balanced Recipe'!L6),if(and(I5="Adult Maintenance",I4="Feline"),sum((1.4/1000)*'Balanced Recipe'!L6),if(and(I5="Growth &amp; Development",I4="Feline"),sum((1.4/1000)*'Balanced Recipe'!L6),
if(and(I5="Gestation &amp; Lactation",I4="Canine"),sum(( 2.8/1000)*'Balanced Recipe'!L6),
if(and(I5="Gestation &amp; Lactation",I4="Feline"),sum(( 1.4/1000)*'Balanced Recipe'!L6),""))))))</f>
        <v>3</v>
      </c>
      <c r="H25" s="336" t="str">
        <f t="shared" si="3"/>
        <v>g</v>
      </c>
      <c r="I25" s="336">
        <f>if(and(I5="Adult Maintenance",I4="Canine"),sum((2.8/1000)*'Balanced Recipe'!L6),if(and(I5="Growth &amp; Development",I4="Canine"),sum((3.3/1000)*'Balanced Recipe'!L6),if(and(I5="Adult Maintenance",I4="Feline"),sum((1.4/1000)*'Balanced Recipe'!L6),if(and(I5="Growth &amp; Development",I4="Feline"),sum((1.4/1000)*'Balanced Recipe'!L6),
if(and(I5="Gestation &amp; Lactation",I4="Canine"),sum(( 3.3/1000)*'Balanced Recipe'!L6),
if(and(I5="Gestation &amp; Lactation",I4="Feline"),sum(( 1.4/1000)*'Balanced Recipe'!L6),""))))))</f>
        <v>3.3</v>
      </c>
      <c r="J25" s="336" t="str">
        <f t="shared" si="4"/>
        <v>g</v>
      </c>
    </row>
    <row r="26">
      <c r="A26" s="361" t="s">
        <v>166</v>
      </c>
      <c r="B26" s="362"/>
      <c r="C26" s="363">
        <f>sum('Balanced Recipe Data'!I70)/('Balanced Recipe Data'!F21/'Balanced Recipe'!L6)</f>
        <v>1.039384684</v>
      </c>
      <c r="D26" s="340" t="s">
        <v>36</v>
      </c>
      <c r="E26" s="364"/>
      <c r="F26" s="364"/>
      <c r="G26" s="343">
        <f>if(and(I5="Adult Maintenance",I4="Canine"),sum((0.09/1000)*'Balanced Recipe'!L6),if(and(I5="Growth &amp; Development",I4="Canine"),sum((0.18/1000)*'Balanced Recipe'!L6),if(and(I5="Adult Maintenance",I4="Feline"),sum((0/1000)*'Balanced Recipe'!L6),if(and(I5="Growth &amp; Development",I4="Feline"),sum((0/1000)*'Balanced Recipe'!L6),
if(and(I5="Gestation &amp; Lactation",I4="Canine"),sum(( 0.18/1000)*'Balanced Recipe'!L6),
if(and(I5="Gestation &amp; Lactation",I4="Feline"),sum(( 0/1000)*'Balanced Recipe'!L6),""))))))</f>
        <v>0.18</v>
      </c>
      <c r="H26" s="343" t="str">
        <f t="shared" si="3"/>
        <v>g</v>
      </c>
      <c r="I26" s="343">
        <f>if(and(I5="Adult Maintenance",I4="Canine"),sum((0.11/1000)*'Balanced Recipe'!L6),if(and(I5="Growth &amp; Development",I4="Canine"),sum((0.2/1000)*'Balanced Recipe'!L6),if(and(I5="Adult Maintenance",I4="Feline"),sum((0/1000)*'Balanced Recipe'!L6),if(and(I5="Growth &amp; Development",I4="Feline"),sum((0/1000)*'Balanced Recipe'!L6),
if(and(I5="Gestation &amp; Lactation",I4="Canine"),sum(( 1.2/1000)*'Balanced Recipe'!L6),
if(and(I5="Gestation &amp; Lactation",I4="Feline"),sum(( 0/1000)*'Balanced Recipe'!L6),""))))))</f>
        <v>0.2</v>
      </c>
      <c r="J26" s="343" t="str">
        <f t="shared" si="4"/>
        <v>g</v>
      </c>
    </row>
    <row r="27">
      <c r="A27" s="357" t="s">
        <v>167</v>
      </c>
      <c r="B27" s="358"/>
      <c r="C27" s="359">
        <f>sum('Balanced Recipe Data'!I71)/('Balanced Recipe Data'!F21/'Balanced Recipe'!L6)</f>
        <v>0.3597870061</v>
      </c>
      <c r="D27" s="333" t="s">
        <v>36</v>
      </c>
      <c r="E27" s="360"/>
      <c r="F27" s="360"/>
      <c r="G27" s="336">
        <f>if(and(I5="Adult Maintenance",I4="Canine"),sum((0/1000)*'Balanced Recipe'!L6),if(and(I5="Growth &amp; Development",I4="Canine"),sum((0.08/1000)*'Balanced Recipe'!L6),if(and(I5="Adult Maintenance",I4="Feline"),sum((0/1000)*'Balanced Recipe'!L6),if(and(I5="Growth &amp; Development",I4="Feline"),sum((0/1000)*'Balanced Recipe'!L6),
if(and(I5="Gestation &amp; Lactation",I4="Canine"),sum(( 0/1000)*'Balanced Recipe'!L6),
if(and(I5="Gestation &amp; Lactation",I4="Feline"),sum(( 0.005/1000)*'Balanced Recipe'!L6),""))))))</f>
        <v>0.08</v>
      </c>
      <c r="H27" s="336" t="str">
        <f t="shared" si="3"/>
        <v>g</v>
      </c>
      <c r="I27" s="336">
        <f>if(and(I5="Adult Maintenance",I4="Canine"),sum((0/1000)*'Balanced Recipe'!L6),if(and(I5="Growth &amp; Development",I4="Canine"),sum((0.08/1000)*'Balanced Recipe'!L6),if(and(I5="Adult Maintenance",I4="Feline"),sum((0.015/1000)*'Balanced Recipe'!L6),if(and(I5="Growth &amp; Development",I4="Feline"),sum((0.015/1000)*'Balanced Recipe'!L6),
if(and(I5="Gestation &amp; Lactation",I4="Canine"),sum(( 0/1000)*'Balanced Recipe'!L6),
if(and(I5="Gestation &amp; Lactation",I4="Feline"),sum(( 0.015/1000)*'Balanced Recipe'!L6),""))))))</f>
        <v>0.08</v>
      </c>
      <c r="J27" s="336" t="str">
        <f t="shared" si="4"/>
        <v>g</v>
      </c>
    </row>
    <row r="28">
      <c r="A28" s="365" t="s">
        <v>168</v>
      </c>
      <c r="B28" s="366"/>
      <c r="C28" s="367">
        <f>sum('Balanced Recipe Data'!I77)/('Balanced Recipe Data'!F21/'Balanced Recipe'!L6)</f>
        <v>0.4797160081</v>
      </c>
      <c r="D28" s="368" t="s">
        <v>36</v>
      </c>
      <c r="E28" s="369"/>
      <c r="F28" s="369"/>
      <c r="G28" s="370">
        <f>if(and(I5="Adult Maintenance",I4="Canine"),sum((0.11/1000)*'Balanced Recipe'!L6),if(and(I5="Growth &amp; Development",I4="Canine"),sum((13/1000)*'Balanced Recipe'!L6),if(and(I5="Adult Maintenance",I4="Feline"),sum((0/1000)*'Balanced Recipe'!L6),if(and(I5="Growth &amp; Development",I4="Feline"),sum((0/1000)*'Balanced Recipe'!L6),
if(and(I5="Gestation &amp; Lactation",I4="Canine"),sum(( 0.13/1000)*'Balanced Recipe'!L6),
if(and(I5="Gestation &amp; Lactation",I4="Feline"),sum(( 0.025/1000)*'Balanced Recipe'!L6),""))))))</f>
        <v>13</v>
      </c>
      <c r="H28" s="370" t="str">
        <f t="shared" si="3"/>
        <v>g</v>
      </c>
      <c r="I28" s="370">
        <f>if(and(I5="Adult Maintenance",I4="Canine"),sum((0.11/1000)*'Balanced Recipe'!L6),if(and(I5="Growth &amp; Development",I4="Canine"),sum((0.13/1000)*'Balanced Recipe'!L6),if(and(I5="Adult Maintenance",I4="Feline"),sum((0.025/1000)*'Balanced Recipe'!L6),if(and(I5="Growth &amp; Development",I4="Feline"),sum((0.025/1000)*'Balanced Recipe'!L6),
if(and(I5="Gestation &amp; Lactation",I4="Canine"),sum(( 0.13/1000)*'Balanced Recipe'!L6),
if(and(I5="Gestation &amp; Lactation",I4="Feline"),sum(( 0.025/1000)*'Balanced Recipe'!L6),""))))))</f>
        <v>0.13</v>
      </c>
      <c r="J28" s="370" t="str">
        <f t="shared" si="4"/>
        <v>g</v>
      </c>
    </row>
    <row r="29">
      <c r="A29" s="317" t="s">
        <v>169</v>
      </c>
      <c r="B29" s="318"/>
      <c r="C29" s="353" t="s">
        <v>146</v>
      </c>
      <c r="D29" s="320"/>
      <c r="E29" s="354"/>
      <c r="F29" s="354"/>
      <c r="G29" s="353" t="s">
        <v>147</v>
      </c>
      <c r="H29" s="320"/>
      <c r="I29" s="353" t="s">
        <v>148</v>
      </c>
      <c r="J29" s="323"/>
    </row>
    <row r="30">
      <c r="A30" s="355" t="s">
        <v>170</v>
      </c>
      <c r="B30" s="356"/>
      <c r="C30" s="326">
        <f>sum('Balanced Recipe Data'!U50)/('Balanced Recipe Data'!F21/'Balanced Recipe'!L6)</f>
        <v>3171.67237</v>
      </c>
      <c r="D30" s="327" t="s">
        <v>11</v>
      </c>
      <c r="E30" s="328"/>
      <c r="F30" s="328"/>
      <c r="G30" s="329">
        <f>if(and(I5="Adult Maintenance",I4="Canine"),sum((303/1000)*'Balanced Recipe'!L6),if(and(I5="Growth &amp; Development",I4="Canine"),sum((330/1000)*'Balanced Recipe'!L6),if(and(I5="Adult Maintenance",I4="Feline"),sum((250/1000)*'Balanced Recipe'!L6),if(and(I5="Growth &amp; Development",I4="Feline"),sum((250/1000)*'Balanced Recipe'!L6),
if(and(I5="Gestation &amp; Lactation",I4="Canine"),sum(( 303/1000)*'Balanced Recipe'!L6),
if(and(I5="Gestation &amp; Lactation",I4="Feline"),sum(( 200/1000)*'Balanced Recipe'!L6),""))))))</f>
        <v>330</v>
      </c>
      <c r="H30" s="329" t="str">
        <f t="shared" ref="H30:H41" si="5">D30</f>
        <v>mcg</v>
      </c>
      <c r="I30" s="329">
        <f>if(and(I5="Adult Maintenance",I4="Canine"),sum((379/1000)*'Balanced Recipe'!L6),if(and(I5="Growth &amp; Development",I4="Canine"),sum((379/1000)*'Balanced Recipe'!L6),if(and(I5="Adult Maintenance",I4="Feline"),sum((250/1000)*'Balanced Recipe'!L6),if(and(I5="Growth &amp; Development",I4="Feline"),sum((250/1000)*'Balanced Recipe'!L6),
if(and(I5="Gestation &amp; Lactation",I4="Canine"),sum(( 379/1000)*'Balanced Recipe'!L6),
if(and(I5="Gestation &amp; Lactation",I4="Feline"),sum(( 250/1000)*'Balanced Recipe'!L6),""))))))</f>
        <v>379</v>
      </c>
      <c r="J30" s="329" t="str">
        <f t="shared" ref="J30:J41" si="6">H30</f>
        <v>mcg</v>
      </c>
    </row>
    <row r="31">
      <c r="A31" s="357" t="s">
        <v>171</v>
      </c>
      <c r="B31" s="358"/>
      <c r="C31" s="359">
        <f>sum('Balanced Recipe Data'!U53)/('Balanced Recipe Data'!F21/'Balanced Recipe'!L6)</f>
        <v>5.866527016</v>
      </c>
      <c r="D31" s="333" t="s">
        <v>11</v>
      </c>
      <c r="E31" s="360"/>
      <c r="F31" s="360"/>
      <c r="G31" s="336">
        <f>if(and(I5="Adult Maintenance",I4="Canine"),sum((2.75/1000)*'Balanced Recipe'!L6),if(and(I5="Growth &amp; Development",I4="Canine"),sum((2.75/1000)*'Balanced Recipe'!L6),if(and(I5="Adult Maintenance",I4="Feline"),sum((1.8/1000)*'Balanced Recipe'!L6),if(and(I5="Growth &amp; Development",I4="Feline"),sum((1.8/1000)*'Balanced Recipe'!L6),
if(and(I5="Gestation &amp; Lactation",I4="Canine"),sum(( 2.75/1000)*'Balanced Recipe'!L6),
if(and(I5="Gestation &amp; Lactation",I4="Feline"),sum(( 1.4/1000)*'Balanced Recipe'!L6),""))))))</f>
        <v>2.75</v>
      </c>
      <c r="H31" s="336" t="str">
        <f t="shared" si="5"/>
        <v>mcg</v>
      </c>
      <c r="I31" s="336">
        <f>if(and(I5="Adult Maintenance",I4="Canine"),sum((3.4/1000)*'Balanced Recipe'!L6),if(and(I5="Growth &amp; Development",I4="Canine"),sum((3.4/1000)*'Balanced Recipe'!L6),if(and(I5="Adult Maintenance",I4="Feline"),sum((1.8/1000)*'Balanced Recipe'!L6),if(and(I5="Growth &amp; Development",I4="Feline"),sum((1.8/1000)*'Balanced Recipe'!L6),
if(and(I5="Gestation &amp; Lactation",I4="Canine"),sum(( 3.4/1000)*'Balanced Recipe'!L6),
if(and(I5="Gestation &amp; Lactation",I4="Feline"),sum(( 1.75/1000)*'Balanced Recipe'!L6),""))))))</f>
        <v>3.4</v>
      </c>
      <c r="J31" s="336" t="str">
        <f t="shared" si="6"/>
        <v>mcg</v>
      </c>
    </row>
    <row r="32">
      <c r="A32" s="361" t="s">
        <v>172</v>
      </c>
      <c r="B32" s="362"/>
      <c r="C32" s="363">
        <f>sum(('Balanced Recipe'!J24)*(VLOOKUP('Balanced Recipe'!C24,'Supplement Master List'!$A$1:$Q$1032,4,false)))*0.67</f>
        <v>67</v>
      </c>
      <c r="D32" s="340" t="s">
        <v>26</v>
      </c>
      <c r="E32" s="364"/>
      <c r="F32" s="364"/>
      <c r="G32" s="343">
        <f>if(and(I5="Adult Maintenance",I4="Canine"),sum((6/1000)*'Balanced Recipe'!L6),if(and(I5="Growth &amp; Development",I4="Canine"),sum((6/1000)*'Balanced Recipe'!L6),if(and(I5="Adult Maintenance",I4="Feline"),sum((10/1000)*'Balanced Recipe'!L6),if(and(I5="Growth &amp; Development",I4="Feline"),sum((10/1000)*'Balanced Recipe'!L6),
if(and(I5="Gestation &amp; Lactation",I4="Canine"),sum(( 6/1000)*'Balanced Recipe'!L6),
if(and(I5="Gestation &amp; Lactation",I4="Feline"),sum(( 7.5/1000)*'Balanced Recipe'!L6),""))))))</f>
        <v>6</v>
      </c>
      <c r="H32" s="343" t="str">
        <f t="shared" si="5"/>
        <v>mg</v>
      </c>
      <c r="I32" s="343">
        <f>if(and(I5="Adult Maintenance",I4="Canine"),sum((7.5/1000)*'Balanced Recipe'!L6),if(and(I5="Growth &amp; Development",I4="Canine"),sum((7.5/1000)*'Balanced Recipe'!L6),if(and(I5="Adult Maintenance",I4="Feline"),sum((10/1000)*'Balanced Recipe'!L6),if(and(I5="Growth &amp; Development",I4="Feline"),sum((10/1000)*'Balanced Recipe'!L6),
if(and(I5="Gestation &amp; Lactation",I4="Canine"),sum(( 7.5/1000)*'Balanced Recipe'!L6),
if(and(I5="Gestation &amp; Lactation",I4="Feline"),sum(( 10/1000)*'Balanced Recipe'!L6),""))))))</f>
        <v>7.5</v>
      </c>
      <c r="J32" s="343" t="str">
        <f t="shared" si="6"/>
        <v>mg</v>
      </c>
    </row>
    <row r="33">
      <c r="A33" s="357" t="s">
        <v>173</v>
      </c>
      <c r="B33" s="358"/>
      <c r="C33" s="359">
        <f>sum('Balanced Recipe Data'!U60)/('Balanced Recipe Data'!F21/'Balanced Recipe'!L6)</f>
        <v>0.8295089307</v>
      </c>
      <c r="D33" s="333" t="s">
        <v>26</v>
      </c>
      <c r="E33" s="360"/>
      <c r="F33" s="360"/>
      <c r="G33" s="336">
        <f>if(and(I5="Adult Maintenance",I4="Canine"),sum((0.45/1000)*'Balanced Recipe'!L6),if(and(I5="Growth &amp; Development",I4="Canine"),sum((0.27/1000)*'Balanced Recipe'!L6),if(and(I5="Adult Maintenance",I4="Feline"),sum((1.4/1000)*'Balanced Recipe'!L6),if(and(I5="Growth &amp; Development",I4="Feline"),sum((1.1/1000)*'Balanced Recipe'!L6),
if(and(I5="Gestation &amp; Lactation",I4="Canine"),sum(( 0.45/1000)*'Balanced Recipe'!L6),
if(and(I5="Gestation &amp; Lactation",I4="Feline"),sum(( 1.1/1000)*'Balanced Recipe'!L6),""))))))</f>
        <v>0.27</v>
      </c>
      <c r="H33" s="336" t="str">
        <f t="shared" si="5"/>
        <v>mg</v>
      </c>
      <c r="I33" s="336">
        <f>if(and(I5="Adult Maintenance",I4="Canine"),sum((0.56/1000)*'Balanced Recipe'!L6),if(and(I5="Growth &amp; Development",I4="Canine"),sum((0.34/1000)*'Balanced Recipe'!L6),if(and(I5="Adult Maintenance",I4="Feline"),sum((1.4/1000)*'Balanced Recipe'!L6),if(and(I5="Growth &amp; Development",I4="Feline"),sum((1.4/1000)*'Balanced Recipe'!L6),
if(and(I5="Gestation &amp; Lactation",I4="Canine"),sum(( 0.56/1000)*'Balanced Recipe'!L6),
if(and(I5="Gestation &amp; Lactation",I4="Feline"),sum(( 1.4/1000)*'Balanced Recipe'!L6),""))))))</f>
        <v>0.34</v>
      </c>
      <c r="J33" s="336" t="str">
        <f t="shared" si="6"/>
        <v>mg</v>
      </c>
    </row>
    <row r="34">
      <c r="A34" s="361" t="s">
        <v>174</v>
      </c>
      <c r="B34" s="362"/>
      <c r="C34" s="363">
        <f>sum('Balanced Recipe Data'!U61)/('Balanced Recipe Data'!F21/'Balanced Recipe'!L6)</f>
        <v>2.76836113</v>
      </c>
      <c r="D34" s="340" t="s">
        <v>26</v>
      </c>
      <c r="E34" s="364"/>
      <c r="F34" s="364"/>
      <c r="G34" s="343">
        <f>if(and(I5="Adult Maintenance",I4="Canine"),sum((1.05/1000)*'Balanced Recipe'!L6),if(and(I5="Growth &amp; Development",I4="Canine"),sum((1.05/1000)*'Balanced Recipe'!L6),if(and(I5="Adult Maintenance",I4="Feline"),sum((1/1000)*'Balanced Recipe'!L6),if(and(I5="Growth &amp; Development",I4="Feline"),sum((1/1000)*'Balanced Recipe'!L6),
if(and(I5="Gestation &amp; Lactation",I4="Canine"),sum(( 1.05/1000)*'Balanced Recipe'!L6),
if(and(I5="Gestation &amp; Lactation",I4="Feline"),sum(( 0.8/1000)*'Balanced Recipe'!L6),""))))))</f>
        <v>1.05</v>
      </c>
      <c r="H34" s="343" t="str">
        <f t="shared" si="5"/>
        <v>mg</v>
      </c>
      <c r="I34" s="343">
        <f>if(and(I5="Adult Maintenance",I4="Canine"),sum((1.3/1000)*'Balanced Recipe'!L6),if(and(I5="Growth &amp; Development",I4="Canine"),sum((1.32/1000)*'Balanced Recipe'!L6),if(and(I5="Adult Maintenance",I4="Feline"),sum((1/1000)*'Balanced Recipe'!L6),if(and(I5="Growth &amp; Development",I4="Feline"),sum((1/1000)*'Balanced Recipe'!L6),
if(and(I5="Gestation &amp; Lactation",I4="Canine"),sum(( 1.3/1000)*'Balanced Recipe'!L6),
if(and(I5="Gestation &amp; Lactation",I4="Feline"),sum(( 1/1000)*'Balanced Recipe'!L6),""))))))</f>
        <v>1.32</v>
      </c>
      <c r="J34" s="343" t="str">
        <f t="shared" si="6"/>
        <v>mg</v>
      </c>
    </row>
    <row r="35">
      <c r="A35" s="357" t="s">
        <v>175</v>
      </c>
      <c r="B35" s="358"/>
      <c r="C35" s="359">
        <f>sum('Balanced Recipe Data'!U62)/('Balanced Recipe Data'!F21/'Balanced Recipe'!L6)</f>
        <v>44.73351776</v>
      </c>
      <c r="D35" s="333" t="s">
        <v>26</v>
      </c>
      <c r="E35" s="360"/>
      <c r="F35" s="360"/>
      <c r="G35" s="336">
        <f>if(and(I5="Adult Maintenance",I4="Canine"),sum((3.4/1000)*'Balanced Recipe'!L6),if(and(I5="Growth &amp; Development",I4="Canine"),sum((3.4/1000)*'Balanced Recipe'!L6),if(and(I5="Adult Maintenance",I4="Feline"),sum((10/1000)*'Balanced Recipe'!L6),if(and(I5="Growth &amp; Development",I4="Feline"),sum((10/1000)*'Balanced Recipe'!L6),
if(and(I5="Gestation &amp; Lactation",I4="Canine"),sum(( 3.4/1000)*'Balanced Recipe'!L6),
if(and(I5="Gestation &amp; Lactation",I4="Feline"),sum(( 8/1000)*'Balanced Recipe'!L6),""))))))</f>
        <v>3.4</v>
      </c>
      <c r="H35" s="336" t="str">
        <f t="shared" si="5"/>
        <v>mg</v>
      </c>
      <c r="I35" s="336">
        <f>if(and(I5="Adult Maintenance",I4="Canine"),sum((4.25/1000)*'Balanced Recipe'!L6),if(and(I5="Growth &amp; Development",I4="Canine"),sum((4.25/1000)*'Balanced Recipe'!L6),if(and(I5="Adult Maintenance",I4="Feline"),sum((10/1000)*'Balanced Recipe'!L6),if(and(I5="Growth &amp; Development",I4="Feline"),sum((10/1000)*'Balanced Recipe'!L6),
if(and(I5="Gestation &amp; Lactation",I4="Canine"),sum(( 4.25/1000)*'Balanced Recipe'!L6),
if(and(I5="Gestation &amp; Lactation",I4="Feline"),sum(( 10/1000)*'Balanced Recipe'!L6),""))))))</f>
        <v>4.25</v>
      </c>
      <c r="J35" s="336" t="str">
        <f t="shared" si="6"/>
        <v>mg</v>
      </c>
    </row>
    <row r="36">
      <c r="A36" s="361" t="s">
        <v>176</v>
      </c>
      <c r="B36" s="362"/>
      <c r="C36" s="363">
        <f>sum('Balanced Recipe Data'!U63)/('Balanced Recipe Data'!F21/'Balanced Recipe'!L6)</f>
        <v>9.634296496</v>
      </c>
      <c r="D36" s="340" t="s">
        <v>26</v>
      </c>
      <c r="E36" s="364"/>
      <c r="F36" s="364"/>
      <c r="G36" s="343">
        <f>if(and(I5="Adult Maintenance",I4="Canine"),sum((3/1000)*'Balanced Recipe'!L6),if(and(I5="Growth &amp; Development",I4="Canine"),sum((3/1000)*'Balanced Recipe'!L6),if(and(I5="Adult Maintenance",I4="Feline"),sum((1.2/1000)*'Balanced Recipe'!L6),if(and(I5="Growth &amp; Development",I4="Feline"),sum((1.2/1000)*'Balanced Recipe'!L6),
if(and(I5="Gestation &amp; Lactation",I4="Canine"),sum(( 3/1000)*'Balanced Recipe'!L6),
if(and(I5="Gestation &amp; Lactation",I4="Feline"),sum(( 1.15/1000)*'Balanced Recipe'!L6),""))))))</f>
        <v>3</v>
      </c>
      <c r="H36" s="343" t="str">
        <f t="shared" si="5"/>
        <v>mg</v>
      </c>
      <c r="I36" s="343">
        <f>if(and(I5="Adult Maintenance",I4="Canine"),sum((3.75/1000)*'Balanced Recipe'!L6),if(and(I5="Growth &amp; Development",I4="Canine"),sum((3.75/1000)*'Balanced Recipe'!L6),if(and(I5="Adult Maintenance",I4="Feline"),sum((1.4/1000)*'Balanced Recipe'!L6),if(and(I5="Growth &amp; Development",I4="Feline"),sum((1.4/1000)*'Balanced Recipe'!L6),
if(and(I5="Gestation &amp; Lactation",I4="Canine"),sum(( 3.75/1000)*'Balanced Recipe'!L6),
if(and(I5="Gestation &amp; Lactation",I4="Feline"),sum(( 1.44/1000)*'Balanced Recipe'!L6),""))))))</f>
        <v>3.75</v>
      </c>
      <c r="J36" s="343" t="str">
        <f t="shared" si="6"/>
        <v>mg</v>
      </c>
    </row>
    <row r="37">
      <c r="A37" s="357" t="s">
        <v>177</v>
      </c>
      <c r="B37" s="358"/>
      <c r="C37" s="359">
        <f>sum('Balanced Recipe Data'!U64)/('Balanced Recipe Data'!F21/'Balanced Recipe'!L6)</f>
        <v>3.308041639</v>
      </c>
      <c r="D37" s="333" t="s">
        <v>26</v>
      </c>
      <c r="E37" s="360"/>
      <c r="F37" s="360"/>
      <c r="G37" s="336">
        <f>if(and(I5="Adult Maintenance",I4="Canine"),sum((0.3/1000)*'Balanced Recipe'!L6),if(and(I5="Growth &amp; Development",I4="Canine"),sum((0.3/1000)*'Balanced Recipe'!L6),if(and(I5="Adult Maintenance",I4="Feline"),sum((0.5/1000)*'Balanced Recipe'!L6),if(and(I5="Growth &amp; Development",I4="Feline"),sum((0.5/1000)*'Balanced Recipe'!L6),
if(and(I5="Gestation &amp; Lactation",I4="Canine"),sum(( 1.3/1000)*'Balanced Recipe'!L6),
if(and(I5="Gestation &amp; Lactation",I4="Feline"),sum(( 0.5/1000)*'Balanced Recipe'!L6),""))))))</f>
        <v>0.3</v>
      </c>
      <c r="H37" s="336" t="str">
        <f t="shared" si="5"/>
        <v>mg</v>
      </c>
      <c r="I37" s="336">
        <f>if(and(I5="Adult Maintenance",I4="Canine"),sum((0.375/1000)*'Balanced Recipe'!L6),if(and(I5="Growth &amp; Development",I4="Canine"),sum((0.375/1000)*'Balanced Recipe'!L6),if(and(I5="Adult Maintenance",I4="Feline"),sum((0.6/1000)*'Balanced Recipe'!L6),if(and(I5="Growth &amp; Development",I4="Feline"),sum((0.6/1000)*'Balanced Recipe'!L6),
if(and(I5="Gestation &amp; Lactation",I4="Canine"),sum(( 0.375/1000)*'Balanced Recipe'!L6),
if(and(I5="Gestation &amp; Lactation",I4="Feline"),sum(( 0.625/1000)*'Balanced Recipe'!L6),""))))))</f>
        <v>0.375</v>
      </c>
      <c r="J37" s="336" t="str">
        <f t="shared" si="6"/>
        <v>mg</v>
      </c>
    </row>
    <row r="38">
      <c r="A38" s="361" t="s">
        <v>178</v>
      </c>
      <c r="B38" s="362"/>
      <c r="C38" s="363">
        <f>sum('Balanced Recipe Data'!U65)/('Balanced Recipe Data'!F21/'Balanced Recipe'!L6)</f>
        <v>62.96272607</v>
      </c>
      <c r="D38" s="340" t="s">
        <v>11</v>
      </c>
      <c r="E38" s="364"/>
      <c r="F38" s="371"/>
      <c r="G38" s="372">
        <f>if(and(I5="Adult Maintenance",I4="Feline"),sum((15/1000)*'Balanced Recipe'!L6),if(and(I5="Growth &amp; Development",I4="Feline"),sum((15/1000)*'Balanced Recipe'!L6),if(and(I5="Gestation &amp; Lactation",I4="Feline"),sum((15/1000)*'Balanced Recipe'!L6),0)))</f>
        <v>0</v>
      </c>
      <c r="H38" s="343" t="str">
        <f t="shared" si="5"/>
        <v>mcg</v>
      </c>
      <c r="I38" s="372">
        <f>if(and(I5="Adult Maintenance",I4="Feline"),sum((18.75/1000)*'Balanced Recipe'!L6),if(and(I5="Growth &amp; Development",I4="Feline"),sum((18.75/1000)*'Balanced Recipe'!L6),if(and(I5="Gestation &amp; Lactation",I4="Feline"),sum((18.75/1000)*'Balanced Recipe'!L6),0)))</f>
        <v>0</v>
      </c>
      <c r="J38" s="343" t="str">
        <f t="shared" si="6"/>
        <v>mcg</v>
      </c>
    </row>
    <row r="39">
      <c r="A39" s="357" t="s">
        <v>179</v>
      </c>
      <c r="B39" s="358"/>
      <c r="C39" s="359">
        <f>sum('Balanced Recipe Data'!U66)/('Balanced Recipe Data'!F21/'Balanced Recipe'!L6)</f>
        <v>262.0748517</v>
      </c>
      <c r="D39" s="333" t="s">
        <v>11</v>
      </c>
      <c r="E39" s="360"/>
      <c r="F39" s="360"/>
      <c r="G39" s="336">
        <f>if(and(I5="Adult Maintenance",I4="Canine"),sum((54/1000)*'Balanced Recipe'!L6),if(and(I5="Growth &amp; Development",I4="Canine"),sum((54/1000)*'Balanced Recipe'!L6),if(and(I5="Adult Maintenance",I4="Feline"),sum((188/1000)*'Balanced Recipe'!L6),if(and(I5="Growth &amp; Development",I4="Feline"),sum((188/1000)*'Balanced Recipe'!L6),
if(and(I5="Gestation &amp; Lactation",I4="Canine"),sum(( 54/1000)*'Balanced Recipe'!L6),
if(and(I5="Gestation &amp; Lactation",I4="Feline"),sum(( 150/1000)*'Balanced Recipe'!L6),""))))))</f>
        <v>54</v>
      </c>
      <c r="H39" s="336" t="str">
        <f t="shared" si="5"/>
        <v>mcg</v>
      </c>
      <c r="I39" s="336">
        <f>if(and(I5="Adult Maintenance",I4="Canine"),sum((67.5/1000)*'Balanced Recipe'!L6),if(and(I5="Growth &amp; Development",I4="Canine"),sum((68/1000)*'Balanced Recipe'!L6),if(and(I5="Adult Maintenance",I4="Feline"),sum((188/1000)*'Balanced Recipe'!L6),if(and(I5="Growth &amp; Development",I4="Feline"),sum((188/1000)*'Balanced Recipe'!L6),
if(and(I5="Gestation &amp; Lactation",I4="Canine"),sum(( 67.5/1000)*'Balanced Recipe'!L6),
if(and(I5="Gestation &amp; Lactation",I4="Feline"),sum(( 188/1000)*'Balanced Recipe'!L6),""))))))</f>
        <v>68</v>
      </c>
      <c r="J39" s="336" t="str">
        <f t="shared" si="6"/>
        <v>mcg</v>
      </c>
    </row>
    <row r="40">
      <c r="A40" s="361" t="s">
        <v>180</v>
      </c>
      <c r="B40" s="362"/>
      <c r="C40" s="363">
        <f>sum('Balanced Recipe Data'!U67)/('Balanced Recipe Data'!F21/'Balanced Recipe'!L6)</f>
        <v>54.42777875</v>
      </c>
      <c r="D40" s="340" t="s">
        <v>11</v>
      </c>
      <c r="E40" s="364"/>
      <c r="F40" s="364"/>
      <c r="G40" s="343">
        <f>if(and(I5="Adult Maintenance",I4="Canine"),sum((7/1000)*'Balanced Recipe'!L6),if(and(I5="Growth &amp; Development",I4="Canine"),sum((7/1000)*'Balanced Recipe'!L6),if(and(I5="Adult Maintenance",I4="Feline"),sum((5.6/1000)*'Balanced Recipe'!L6),if(and(I5="Growth &amp; Development",I4="Feline"),sum((5.6/1000)*'Balanced Recipe'!L6),
if(and(I5="Gestation &amp; Lactation",I4="Canine"),sum(( 7/1000)*'Balanced Recipe'!L6),
if(and(I5="Gestation &amp; Lactation",I4="Feline"),sum(( 4.5/1000)*'Balanced Recipe'!L6),""))))))</f>
        <v>7</v>
      </c>
      <c r="H40" s="343" t="str">
        <f t="shared" si="5"/>
        <v>mcg</v>
      </c>
      <c r="I40" s="343">
        <f>if(and(I5="Adult Maintenance",I4="Canine"),sum((8.75/1000)*'Balanced Recipe'!L6),if(and(I5="Growth &amp; Development",I4="Canine"),sum((8.75/1000)*'Balanced Recipe'!L6),if(and(I5="Adult Maintenance",I4="Feline"),sum((5.6/1000)*'Balanced Recipe'!L6),if(and(I5="Growth &amp; Development",I4="Feline"),sum((5.6/1000)*'Balanced Recipe'!L6),
if(and(I5="Gestation &amp; Lactation",I4="Canine"),sum(( 8.75/1000)*'Balanced Recipe'!L6),
if(and(I5="Gestation &amp; Lactation",I4="Feline"),sum(( 5.6/1000)*'Balanced Recipe'!L6),""))))))</f>
        <v>8.75</v>
      </c>
      <c r="J40" s="343" t="str">
        <f t="shared" si="6"/>
        <v>mcg</v>
      </c>
    </row>
    <row r="41">
      <c r="A41" s="373" t="s">
        <v>181</v>
      </c>
      <c r="B41" s="374"/>
      <c r="C41" s="375">
        <f>sum('Balanced Recipe Data'!U68)/('Balanced Recipe Data'!F21/'Balanced Recipe'!L6)</f>
        <v>225.5764587</v>
      </c>
      <c r="D41" s="376" t="s">
        <v>11</v>
      </c>
      <c r="E41" s="377"/>
      <c r="F41" s="377"/>
      <c r="G41" s="378">
        <f>if(and(I5="Adult Maintenance",I4="Canine"),sum((340/1000)*'Balanced Recipe'!L6),if(and(I5="Growth &amp; Development",I4="Canine"),sum((340/1000)*'Balanced Recipe'!L6),if(and(I5="Adult Maintenance",I4="Feline"),sum((510/1000)*'Balanced Recipe'!L6),if(and(I5="Growth &amp; Development",I4="Feline"),sum((510/1000)*'Balanced Recipe'!L6),
if(and(I5="Gestation &amp; Lactation",I4="Canine"),sum(( 340/1000)*'Balanced Recipe'!L6),
if(and(I5="Gestation &amp; Lactation",I4="Feline"),sum(( 510/1000)*'Balanced Recipe'!L6),""))))))</f>
        <v>340</v>
      </c>
      <c r="H41" s="378" t="str">
        <f t="shared" si="5"/>
        <v>mcg</v>
      </c>
      <c r="I41" s="378">
        <f>if(and(I5="Adult Maintenance",I4="Canine"),sum((425/1000)*'Balanced Recipe'!L6),if(and(I5="Growth &amp; Development",I4="Canine"),sum((425/1000)*'Balanced Recipe'!L6),if(and(I5="Adult Maintenance",I4="Feline"),sum((637/1000)*'Balanced Recipe'!L6),if(and(I5="Growth &amp; Development",I4="Feline"),sum((637/1000)*'Balanced Recipe'!L6),
if(and(I5="Gestation &amp; Lactation",I4="Canine"),sum(( 425/1000)*'Balanced Recipe'!L6),
if(and(I5="Gestation &amp; Lactation",I4="Feline"),sum(( 637/1000)*'Balanced Recipe'!L6),""))))))</f>
        <v>425</v>
      </c>
      <c r="J41" s="378" t="str">
        <f t="shared" si="6"/>
        <v>mcg</v>
      </c>
    </row>
    <row r="42">
      <c r="A42" s="379" t="s">
        <v>182</v>
      </c>
      <c r="B42" s="380"/>
      <c r="C42" s="380"/>
      <c r="D42" s="380"/>
      <c r="E42" s="380"/>
      <c r="F42" s="380"/>
      <c r="G42" s="380"/>
      <c r="H42" s="380"/>
      <c r="I42" s="380"/>
      <c r="J42" s="380"/>
    </row>
    <row r="43" ht="15.75" customHeight="1">
      <c r="A43" s="317" t="s">
        <v>183</v>
      </c>
      <c r="B43" s="381"/>
      <c r="C43" s="353" t="s">
        <v>146</v>
      </c>
      <c r="D43" s="320"/>
      <c r="E43" s="354"/>
      <c r="F43" s="354"/>
      <c r="G43" s="353" t="s">
        <v>147</v>
      </c>
      <c r="H43" s="320"/>
      <c r="I43" s="353" t="s">
        <v>148</v>
      </c>
      <c r="J43" s="323"/>
    </row>
    <row r="44" ht="15.75" customHeight="1">
      <c r="A44" s="355" t="s">
        <v>184</v>
      </c>
      <c r="B44" s="356"/>
      <c r="C44" s="326">
        <f>sum('Balanced Recipe Data'!U72)/('Balanced Recipe Data'!F21/'Balanced Recipe'!L6)</f>
        <v>3.018213218</v>
      </c>
      <c r="D44" s="327" t="s">
        <v>36</v>
      </c>
      <c r="E44" s="328"/>
      <c r="F44" s="328"/>
      <c r="G44" s="329">
        <f>if(and(I5="Adult Maintenance",I4="Canine"),sum((0.5/1000)*'Balanced Recipe'!L6),if(and(I5="Growth &amp; Development",I4="Canine"),sum((2/1000)*'Balanced Recipe'!L6),if(and(I5="Adult Maintenance",I4="Feline"),sum((0.4/1000)*'Balanced Recipe'!L6),if(and(I5="Growth &amp; Development",I4="Feline"),sum((1.3/1000)*'Balanced Recipe'!L6),
if(and(I5="Gestation &amp; Lactation",I4="Canine"),sum(( 1.9/1000)*'Balanced Recipe'!L6),
if(and(I5="Gestation &amp; Lactation",I4="Feline"),sum(( 0.4/1000)*'Balanced Recipe'!L6),""))))))</f>
        <v>2</v>
      </c>
      <c r="H44" s="329" t="str">
        <f t="shared" ref="H44:H45" si="7">D44</f>
        <v>g</v>
      </c>
      <c r="I44" s="329">
        <f>if(and(I5="Adult Maintenance",I4="Canine"),sum((1/1000)*'Balanced Recipe'!L6),if(and(I5="Growth &amp; Development",I4="Canine"),sum((3/1000)*'Balanced Recipe'!L6),if(and(I5="Adult Maintenance",I4="Feline"),sum((0.7/1000)*'Balanced Recipe'!L6),if(and(I5="Growth &amp; Development",I4="Feline"),sum((2/1000)*'Balanced Recipe'!L6),
if(and(I5="Gestation &amp; Lactation",I4="Canine"),sum(( 1.9/1000)*'Balanced Recipe'!L6),
if(and(I5="Gestation &amp; Lactation",I4="Feline"),sum(( 0.72/1000)*'Balanced Recipe'!L6),""))))))</f>
        <v>3</v>
      </c>
      <c r="J44" s="329" t="str">
        <f t="shared" ref="J44:J45" si="8">H44</f>
        <v>g</v>
      </c>
    </row>
    <row r="45">
      <c r="A45" s="357" t="s">
        <v>185</v>
      </c>
      <c r="B45" s="358"/>
      <c r="C45" s="359">
        <f>sum('Balanced Recipe Data'!U74)/('Balanced Recipe Data'!F21/'Balanced Recipe'!L6)</f>
        <v>2.448550458</v>
      </c>
      <c r="D45" s="333" t="s">
        <v>36</v>
      </c>
      <c r="E45" s="360"/>
      <c r="F45" s="360"/>
      <c r="G45" s="336">
        <f>if(and(I5="Adult Maintenance",I4="Canine"),sum((0.75/1000)*'Balanced Recipe'!L6),if(and(I5="Growth &amp; Development",I4="Canine"),sum((2.5/1000)*'Balanced Recipe'!L6),if(and(I5="Adult Maintenance",I4="Feline"),sum((0.4/1000)*'Balanced Recipe'!L6),if(and(I5="Growth &amp; Development",I4="Feline"),sum((1.2/1000)*'Balanced Recipe'!L6),
if(and(I5="Gestation &amp; Lactation",I4="Canine"),sum(( 1.2/1000)*'Balanced Recipe'!L6),
if(and(I5="Gestation &amp; Lactation",I4="Feline"),sum(( 0.35/1000)*'Balanced Recipe'!L6),""))))))</f>
        <v>2.5</v>
      </c>
      <c r="H45" s="336" t="str">
        <f t="shared" si="7"/>
        <v>g</v>
      </c>
      <c r="I45" s="336">
        <f>if(and(I5="Adult Maintenance",I4="Canine"),sum((0.75/1000)*'Balanced Recipe'!L6),if(and(I5="Growth &amp; Development",I4="Canine"),sum((2.5/1000)*'Balanced Recipe'!L6),if(and(I5="Adult Maintenance",I4="Feline"),sum((0.6/1000)*'Balanced Recipe'!L6),if(and(I5="Growth &amp; Development",I4="Feline"),sum((1.8/1000)*'Balanced Recipe'!L6),
if(and(I5="Gestation &amp; Lactation",I4="Canine"),sum(( 1.2/1000)*'Balanced Recipe'!L6),
if(and(I5="Gestation &amp; Lactation",I4="Feline"),sum(( 0.64/1000)*'Balanced Recipe'!L6),""))))))</f>
        <v>2.5</v>
      </c>
      <c r="J45" s="336" t="str">
        <f t="shared" si="8"/>
        <v>g</v>
      </c>
    </row>
    <row r="46">
      <c r="A46" s="382" t="s">
        <v>186</v>
      </c>
      <c r="B46" s="383"/>
      <c r="C46" s="383"/>
      <c r="D46" s="383"/>
      <c r="E46" s="383"/>
      <c r="F46" s="383"/>
      <c r="G46" s="383"/>
      <c r="H46" s="383"/>
      <c r="I46" s="383"/>
      <c r="J46" s="383"/>
    </row>
    <row r="47">
      <c r="A47" s="357" t="s">
        <v>187</v>
      </c>
      <c r="B47" s="358"/>
      <c r="C47" s="359">
        <f>sum('Balanced Recipe Data'!U76)/('Balanced Recipe Data'!F21/'Balanced Recipe'!L6)</f>
        <v>210.3154932</v>
      </c>
      <c r="D47" s="333" t="s">
        <v>26</v>
      </c>
      <c r="E47" s="360"/>
      <c r="F47" s="360"/>
      <c r="G47" s="336">
        <f>if(and(I5="Adult Maintenance",I4="Canine"),sum((45/1000)*'Balanced Recipe'!L6),if(and(I5="Growth &amp; Development",I4="Canine"),sum((45/1000)*'Balanced Recipe'!L6),if(and(I5="Adult Maintenance",I4="Feline"),sum((50/1000)*'Balanced Recipe'!L6),if(and(I5="Growth &amp; Development",I4="Feline"),sum((40/1000)*'Balanced Recipe'!L6),
if(and(I5="Gestation &amp; Lactation",I4="Canine"),sum(( 150/1000)*'Balanced Recipe'!L6),
if(and(I5="Gestation &amp; Lactation",I4="Feline"),sum(( 50/1000)*'Balanced Recipe'!L6),""))))))</f>
        <v>45</v>
      </c>
      <c r="H47" s="336" t="str">
        <f t="shared" ref="H47:H56" si="9">D47</f>
        <v>mg</v>
      </c>
      <c r="I47" s="336">
        <f>if(and(I5="Adult Maintenance",I4="Canine"),sum((150/1000)*'Balanced Recipe'!L6),if(and(I5="Growth &amp; Development",I4="Canine"),sum((100/1000)*'Balanced Recipe'!L6),if(and(I5="Adult Maintenance",I4="Feline"),sum((100/1000)*'Balanced Recipe'!L6),if(and(I5="Growth &amp; Development",I4="Feline"),sum((100/1000)*'Balanced Recipe'!L6),
if(and(I5="Gestation &amp; Lactation",I4="Canine"),sum(( 150/1000)*'Balanced Recipe'!L6),
if(and(I5="Gestation &amp; Lactation",I4="Feline"),sum(( 100/1000)*'Balanced Recipe'!L6),""))))))</f>
        <v>100</v>
      </c>
      <c r="J47" s="336" t="str">
        <f t="shared" ref="J47:J56" si="10">H47</f>
        <v>mg</v>
      </c>
    </row>
    <row r="48">
      <c r="A48" s="361" t="s">
        <v>188</v>
      </c>
      <c r="B48" s="362"/>
      <c r="C48" s="363">
        <f>sum('Balanced Recipe Data'!U78)/('Balanced Recipe Data'!F21/'Balanced Recipe'!L6)</f>
        <v>680.8369445</v>
      </c>
      <c r="D48" s="340" t="s">
        <v>26</v>
      </c>
      <c r="E48" s="364"/>
      <c r="F48" s="364"/>
      <c r="G48" s="343">
        <f>if(and(I5="Adult Maintenance",I4="Canine"),sum((75/1000)*'Balanced Recipe'!L6),if(and(I5="Growth &amp; Development",I4="Canine"),sum((550/1000)*'Balanced Recipe'!L6),if(and(I5="Adult Maintenance",I4="Feline"),sum((160/1000)*'Balanced Recipe'!L6),if(and(I5="Growth &amp; Development",I4="Feline"),sum((310/1000)*'Balanced Recipe'!L6),
if(and(I5="Gestation &amp; Lactation",I4="Canine"),sum(( 500/1000)*'Balanced Recipe'!L6),
if(and(I5="Gestation &amp; Lactation",I4="Feline"),sum(( 160/1000)*'Balanced Recipe'!L6),""))))))</f>
        <v>550</v>
      </c>
      <c r="H48" s="343" t="str">
        <f t="shared" si="9"/>
        <v>mg</v>
      </c>
      <c r="I48" s="343">
        <f>if(and(I5="Adult Maintenance",I4="Canine"),sum((200/1000)*'Balanced Recipe'!L6),if(and(I5="Growth &amp; Development",I4="Canine"),sum((550/1000)*'Balanced Recipe'!L6),if(and(I5="Adult Maintenance",I4="Feline"),sum((170/1000)*'Balanced Recipe'!L6),if(and(I5="Growth &amp; Development",I4="Feline"),sum((350/1000)*'Balanced Recipe'!L6),
if(and(I5="Gestation &amp; Lactation",I4="Canine"),sum(( 500/1000)*'Balanced Recipe'!L6),
if(and(I5="Gestation &amp; Lactation",I4="Feline"),sum(( 170/1000)*'Balanced Recipe'!L6),""))))))</f>
        <v>550</v>
      </c>
      <c r="J48" s="343" t="str">
        <f t="shared" si="10"/>
        <v>mg</v>
      </c>
    </row>
    <row r="49">
      <c r="A49" s="357" t="s">
        <v>189</v>
      </c>
      <c r="B49" s="358"/>
      <c r="C49" s="359">
        <f>sum('Balanced Recipe Data'!U80)/('Balanced Recipe Data'!F21/'Balanced Recipe'!L6)</f>
        <v>1.609047444</v>
      </c>
      <c r="D49" s="333" t="s">
        <v>36</v>
      </c>
      <c r="E49" s="360"/>
      <c r="F49" s="360"/>
      <c r="G49" s="336">
        <f>if(and(I5="Adult Maintenance",I4="Canine"),sum((1/1000)*'Balanced Recipe'!L6),if(and(I5="Growth &amp; Development",I4="Canine"),sum((1.1/1000)*'Balanced Recipe'!L6),if(and(I5="Adult Maintenance",I4="Feline"),sum((1.3/1000)*'Balanced Recipe'!L6),if(and(I5="Growth &amp; Development",I4="Feline"),sum((0.7/1000)*'Balanced Recipe'!L6),
if(and(I5="Gestation &amp; Lactation",I4="Canine"),sum(( 0.9/1000)*'Balanced Recipe'!L6),
if(and(I5="Gestation &amp; Lactation",I4="Feline"),sum(( 1.3/1000)*'Balanced Recipe'!L6),""))))))</f>
        <v>1.1</v>
      </c>
      <c r="H49" s="336" t="str">
        <f t="shared" si="9"/>
        <v>g</v>
      </c>
      <c r="I49" s="336">
        <f>if(and(I5="Adult Maintenance",I4="Canine"),sum((1/1000)*'Balanced Recipe'!L6),if(and(I5="Growth &amp; Development",I4="Canine"),sum((1.1/1000)*'Balanced Recipe'!L6),if(and(I5="Adult Maintenance",I4="Feline"),sum((1.3/1000)*'Balanced Recipe'!L6),if(and(I5="Growth &amp; Development",I4="Feline"),sum((1/1000)*'Balanced Recipe'!L6),
if(and(I5="Gestation &amp; Lactation",I4="Canine"),sum(( 0.9/1000)*'Balanced Recipe'!L6),
if(and(I5="Gestation &amp; Lactation",I4="Feline"),sum(( 1.3/1000)*'Balanced Recipe'!L6),""))))))</f>
        <v>1.1</v>
      </c>
      <c r="J49" s="336" t="str">
        <f t="shared" si="10"/>
        <v>g</v>
      </c>
    </row>
    <row r="50">
      <c r="A50" s="361" t="s">
        <v>190</v>
      </c>
      <c r="B50" s="362"/>
      <c r="C50" s="363">
        <f>sum('Balanced Recipe Data'!U82)/('Balanced Recipe Data'!F21/'Balanced Recipe'!L6)</f>
        <v>1021.255417</v>
      </c>
      <c r="D50" s="340" t="s">
        <v>26</v>
      </c>
      <c r="E50" s="364"/>
      <c r="F50" s="364"/>
      <c r="G50" s="343">
        <f>if(and(I5="Adult Maintenance",I4="Canine"),sum((300/1000)*'Balanced Recipe'!L6),if(and(I5="Growth &amp; Development",I4="Canine"),sum((720/1000)*'Balanced Recipe'!L6),if(and(I5="Adult Maintenance",I4="Feline"),sum((240/1000)*'Balanced Recipe'!L6),if(and(I5="Growth &amp; Development",I4="Feline"),sum((190/1000)*'Balanced Recipe'!L6),
if(and(I5="Gestation &amp; Lactation",I4="Canine"),sum(( 750/1000)*'Balanced Recipe'!L6),
if(and(I5="Gestation &amp; Lactation",I4="Feline"),sum(( 240/1000)*'Balanced Recipe'!L6),""))))))</f>
        <v>720</v>
      </c>
      <c r="H50" s="343" t="str">
        <f t="shared" si="9"/>
        <v>mg</v>
      </c>
      <c r="I50" s="343">
        <f>if(and(I5="Adult Maintenance",I4="Canine"),sum((300/1000)*'Balanced Recipe'!L6),if(and(I5="Growth &amp; Development",I4="Canine"),sum((720/1000)*'Balanced Recipe'!L6),if(and(I5="Adult Maintenance",I4="Feline"),sum((240/1000)*'Balanced Recipe'!L6),if(and(I5="Growth &amp; Development",I4="Feline"),sum((225/1000)*'Balanced Recipe'!L6),
if(and(I5="Gestation &amp; Lactation",I4="Canine"),sum((750/1000)*'Balanced Recipe'!L6),
if(and(I5="Gestation &amp; Lactation",I4="Feline"),sum(( 240/1000)*'Balanced Recipe'!L6),""))))))</f>
        <v>720</v>
      </c>
      <c r="J50" s="343" t="str">
        <f t="shared" si="10"/>
        <v>mg</v>
      </c>
    </row>
    <row r="51">
      <c r="A51" s="357" t="s">
        <v>191</v>
      </c>
      <c r="B51" s="358"/>
      <c r="C51" s="359">
        <f>sum('Balanced Recipe Data'!U83)/('Balanced Recipe Data'!F21/'Balanced Recipe'!L6)</f>
        <v>38.6471209</v>
      </c>
      <c r="D51" s="333" t="s">
        <v>26</v>
      </c>
      <c r="E51" s="360"/>
      <c r="F51" s="360"/>
      <c r="G51" s="336">
        <f>if(and(I5="Adult Maintenance",I4="Canine"),sum((7.5/1000)*'Balanced Recipe'!L6),if(and(I5="Growth &amp; Development",I4="Canine"),sum((18/1000)*'Balanced Recipe'!L6),if(and(I5="Adult Maintenance",I4="Feline"),sum((20/1000)*'Balanced Recipe'!L6),if(and(I5="Growth &amp; Development",I4="Feline"),sum((17/1000)*'Balanced Recipe'!L6),
if(and(I5="Gestation &amp; Lactation",I4="Canine"),sum(( 17/1000)*'Balanced Recipe'!L6),
if(and(I5="Gestation &amp; Lactation",I4="Feline"),sum(( 20/1000)*'Balanced Recipe'!L6),""))))))</f>
        <v>18</v>
      </c>
      <c r="H51" s="336" t="str">
        <f t="shared" si="9"/>
        <v>mg</v>
      </c>
      <c r="I51" s="336">
        <f>if(and(I5="Adult Maintenance",I4="Canine"),sum((7.5/1000)*'Balanced Recipe'!L6),if(and(I5="Growth &amp; Development",I4="Canine"),sum((22/1000)*'Balanced Recipe'!L6),if(and(I5="Adult Maintenance",I4="Feline"),sum((20/1000)*'Balanced Recipe'!L6),if(and(I5="Growth &amp; Development",I4="Feline"),sum((20/1000)*'Balanced Recipe'!L6),
if(and(I5="Gestation &amp; Lactation",I4="Canine"),sum(( 17/1000)*'Balanced Recipe'!L6),
if(and(I5="Gestation &amp; Lactation",I4="Feline"),sum(( 20/1000)*'Balanced Recipe'!L6),""))))))</f>
        <v>22</v>
      </c>
      <c r="J51" s="336" t="str">
        <f t="shared" si="10"/>
        <v>mg</v>
      </c>
    </row>
    <row r="52">
      <c r="A52" s="361" t="s">
        <v>192</v>
      </c>
      <c r="B52" s="362"/>
      <c r="C52" s="363">
        <f>sum('Balanced Recipe Data'!U85)/('Balanced Recipe Data'!F21/'Balanced Recipe'!L6)</f>
        <v>3.407982474</v>
      </c>
      <c r="D52" s="340" t="s">
        <v>26</v>
      </c>
      <c r="E52" s="364"/>
      <c r="F52" s="364"/>
      <c r="G52" s="343">
        <f>if(and(I5="Adult Maintenance",I4="Canine"),sum((1.5/1000)*'Balanced Recipe'!L6),if(and(I5="Growth &amp; Development",I4="Canine"),sum((2.7/1000)*'Balanced Recipe'!L6),if(and(I5="Adult Maintenance",I4="Feline"),sum((1.2/1000)*'Balanced Recipe'!L6),if(and(I5="Growth &amp; Development",I4="Feline"),sum((1.2/1000)*'Balanced Recipe'!L6),
if(and(I5="Gestation &amp; Lactation",I4="Canine"),sum((3.1/1000)*'Balanced Recipe'!L6),
if(and(I5="Gestation &amp; Lactation",I4="Feline"),sum(( 1.2/1000)*'Balanced Recipe'!L6),""))))))</f>
        <v>2.7</v>
      </c>
      <c r="H52" s="343" t="str">
        <f t="shared" si="9"/>
        <v>mg</v>
      </c>
      <c r="I52" s="343">
        <f>if(and(I5="Adult Maintenance",I4="Canine"),sum((1.5/1000)*'Balanced Recipe'!L6),if(and(I5="Growth &amp; Development",I4="Canine"),sum((2.7/1000)*'Balanced Recipe'!L6),if(and(I5="Adult Maintenance",I4="Feline"),sum((1.2/1000)*'Balanced Recipe'!L6),if(and(I5="Growth &amp; Development",I4="Feline"),sum((2.1/1000)*'Balanced Recipe'!L6),
if(and(I5="Gestation &amp; Lactation",I4="Canine"),sum((3.1/1000)*'Balanced Recipe'!L6),
if(and(I5="Gestation &amp; Lactation",I4="Feline"),sum(( 1.2/1000)*'Balanced Recipe'!L6),""))))))</f>
        <v>2.7</v>
      </c>
      <c r="J52" s="343" t="str">
        <f t="shared" si="10"/>
        <v>mg</v>
      </c>
    </row>
    <row r="53">
      <c r="A53" s="357" t="s">
        <v>193</v>
      </c>
      <c r="B53" s="358"/>
      <c r="C53" s="359">
        <f>sum('Balanced Recipe Data'!U86)/('Balanced Recipe Data'!F21/'Balanced Recipe'!L6)</f>
        <v>35.15918576</v>
      </c>
      <c r="D53" s="333" t="s">
        <v>26</v>
      </c>
      <c r="E53" s="360"/>
      <c r="F53" s="360"/>
      <c r="G53" s="336">
        <f>if(and(I5="Adult Maintenance",I4="Canine"),sum((15/1000)*'Balanced Recipe'!L6),if(and(I5="Growth &amp; Development",I4="Canine"),sum((10/1000)*'Balanced Recipe'!L6),if(and(I5="Adult Maintenance",I4="Feline"),sum((18.5/1000)*'Balanced Recipe'!L6),if(and(I5="Growth &amp; Development",I4="Feline"),sum((12.5/1000)*'Balanced Recipe'!L6),
if(and(I5="Gestation &amp; Lactation",I4="Canine"),sum((24/1000)*'Balanced Recipe'!L6),
if(and(I5="Gestation &amp; Lactation",I4="Feline"),sum(( 18.5/1000)*'Balanced Recipe'!L6),""))))))</f>
        <v>10</v>
      </c>
      <c r="H53" s="336" t="str">
        <f t="shared" si="9"/>
        <v>mg</v>
      </c>
      <c r="I53" s="336">
        <f>if(and(I5="Adult Maintenance",I4="Canine"),sum((15/1000)*'Balanced Recipe'!L6),if(and(I5="Growth &amp; Development",I4="Canine"),sum((25/1000)*'Balanced Recipe'!L6),if(and(I5="Adult Maintenance",I4="Feline"),sum((18.5/1000)*'Balanced Recipe'!L6),if(and(I5="Growth &amp; Development",I4="Feline"),sum((18.5/1000)*'Balanced Recipe'!L6),
if(and(I5="Gestation &amp; Lactation",I4="Canine"),sum((24/1000)*'Balanced Recipe'!L6),
if(and(I5="Gestation &amp; Lactation",I4="Feline"),sum(( 18.5/1000)*'Balanced Recipe'!L6),""))))))</f>
        <v>25</v>
      </c>
      <c r="J53" s="336" t="str">
        <f t="shared" si="10"/>
        <v>mg</v>
      </c>
    </row>
    <row r="54">
      <c r="A54" s="361" t="s">
        <v>194</v>
      </c>
      <c r="B54" s="362"/>
      <c r="C54" s="363">
        <f>sum('Balanced Recipe Data'!U88)/('Balanced Recipe Data'!F21/'Balanced Recipe'!L6)</f>
        <v>3.108159969</v>
      </c>
      <c r="D54" s="340" t="s">
        <v>26</v>
      </c>
      <c r="E54" s="364"/>
      <c r="F54" s="364"/>
      <c r="G54" s="343">
        <f>if(and(I5="Adult Maintenance",I4="Canine"),sum((1.2/1000)*'Balanced Recipe'!L6),if(and(I5="Growth &amp; Development",I4="Canine"),sum((1.4/1000)*'Balanced Recipe'!L6),if(and(I5="Adult Maintenance",I4="Feline"),sum((1.2/1000)*'Balanced Recipe'!L6),if(and(I5="Growth &amp; Development",I4="Feline"),sum((1.2/1000)*'Balanced Recipe'!L6),
if(and(I5="Gestation &amp; Lactation",I4="Canine"),sum(( 1.8/1000)*'Balanced Recipe'!L6),
if(and(I5="Gestation &amp; Lactation",I4="Feline"),sum(( 1.2/1000)*'Balanced Recipe'!L6),""))))))</f>
        <v>1.4</v>
      </c>
      <c r="H54" s="343" t="str">
        <f t="shared" si="9"/>
        <v>mg</v>
      </c>
      <c r="I54" s="343">
        <f>if(and(I5="Adult Maintenance",I4="Canine"),sum((1.2/1000)*'Balanced Recipe'!L6),if(and(I5="Growth &amp; Development",I4="Canine"),sum((1.4/1000)*'Balanced Recipe'!L6),if(and(I5="Adult Maintenance",I4="Feline"),sum((1.2/1000)*'Balanced Recipe'!L6),if(and(I5="Growth &amp; Development",I4="Feline"),sum((1.2/1000)*'Balanced Recipe'!L6),
if(and(I5="Gestation &amp; Lactation",I4="Canine"),sum(( 1.8/1000)*'Balanced Recipe'!L6),
if(and(I5="Gestation &amp; Lactation",I4="Feline"),sum(( 1.2/1000)*'Balanced Recipe'!L6),""))))))</f>
        <v>1.4</v>
      </c>
      <c r="J54" s="343" t="str">
        <f t="shared" si="10"/>
        <v>mg</v>
      </c>
    </row>
    <row r="55">
      <c r="A55" s="357" t="s">
        <v>195</v>
      </c>
      <c r="B55" s="358"/>
      <c r="C55" s="359">
        <f>sum('Balanced Recipe Data'!U90)/('Balanced Recipe Data'!F21/'Balanced Recipe'!L6)</f>
        <v>172.2880055</v>
      </c>
      <c r="D55" s="333" t="s">
        <v>11</v>
      </c>
      <c r="E55" s="360"/>
      <c r="F55" s="360"/>
      <c r="G55" s="336">
        <f>if(and(I5="Adult Maintenance",I4="Canine"),sum((87.5/1000)*'Balanced Recipe'!L6),if(and(I5="Growth &amp; Development",I4="Canine"),sum((52.5/1000)*'Balanced Recipe'!L6),if(and(I5="Adult Maintenance",I4="Feline"),sum((75/1000)*'Balanced Recipe'!L6),if(and(I5="Growth &amp; Development",I4="Feline"),sum((30/1000)*'Balanced Recipe'!L6),
if(and(I5="Gestation &amp; Lactation",I4="Canine"),sum((87.5/1000)*'Balanced Recipe'!L6),
if(and(I5="Gestation &amp; Lactation",I4="Feline"),sum(( 75/1000)*'Balanced Recipe'!L6),""))))))</f>
        <v>52.5</v>
      </c>
      <c r="H55" s="336" t="str">
        <f t="shared" si="9"/>
        <v>mcg</v>
      </c>
      <c r="I55" s="336">
        <f>if(and(I5="Adult Maintenance",I4="Canine"),sum((87.5/1000)*'Balanced Recipe'!L6),if(and(I5="Growth &amp; Development",I4="Canine"),sum((87.5/1000)*'Balanced Recipe'!L6),if(and(I5="Adult Maintenance",I4="Feline"),sum((75/1000)*'Balanced Recipe'!L6),if(and(I5="Growth &amp; Development",I4="Feline"),sum((75/1000)*'Balanced Recipe'!L6),
if(and(I5="Gestation &amp; Lactation",I4="Canine"),sum((87.5/1000)*'Balanced Recipe'!L6),
if(and(I5="Gestation &amp; Lactation",I4="Feline"),sum(( 75/1000)*'Balanced Recipe'!L6),""))))))</f>
        <v>87.5</v>
      </c>
      <c r="J55" s="336" t="str">
        <f t="shared" si="10"/>
        <v>mcg</v>
      </c>
    </row>
    <row r="56">
      <c r="A56" s="361" t="s">
        <v>196</v>
      </c>
      <c r="B56" s="362"/>
      <c r="C56" s="363">
        <f>'Balanced Recipe Data'!D16</f>
        <v>220</v>
      </c>
      <c r="D56" s="340" t="s">
        <v>11</v>
      </c>
      <c r="E56" s="364"/>
      <c r="F56" s="364"/>
      <c r="G56" s="343">
        <f>if(and(I5="Adult Maintenance",I4="Canine"),sum((175/1000)*'Balanced Recipe'!L6),if(and(I5="Growth &amp; Development",I4="Canine"),sum((220/1000)*'Balanced Recipe'!L6),if(and(I5="Adult Maintenance",I4="Feline"),sum((220/1000)*'Balanced Recipe'!L6),if(and(I5="Growth &amp; Development",I4="Feline"),sum((220/1000)*'Balanced Recipe'!L6),
if(and(I5="Gestation &amp; Lactation",I4="Canine"),sum(( 220/1000)*'Balanced Recipe'!L6),
if(and(I5="Gestation &amp; Lactation",I4="Feline"),sum(( 220/1000)*'Balanced Recipe'!L6),""))))))</f>
        <v>220</v>
      </c>
      <c r="H56" s="343" t="str">
        <f t="shared" si="9"/>
        <v>mcg</v>
      </c>
      <c r="I56" s="343">
        <f>if(and(I5="Adult Maintenance",I4="Canine"),sum((220/1000)*'Balanced Recipe'!L6),if(and(I5="Growth &amp; Development",I4="Canine"),sum((220/1000)*'Balanced Recipe'!L6),if(and(I5="Adult Maintenance",I4="Feline"),sum((220/1000)*'Balanced Recipe'!L6),if(and(I5="Growth &amp; Development",I4="Feline"),sum((220/1000)*'Balanced Recipe'!L6),
if(and(I5="Gestation &amp; Lactation",I4="Canine"),sum(( 220/1000)*'Balanced Recipe'!L6),
if(and(I5="Gestation &amp; Lactation",I4="Feline"),sum(( 350/1000)*'Balanced Recipe'!L6),""))))))</f>
        <v>220</v>
      </c>
      <c r="J56" s="343" t="str">
        <f t="shared" si="10"/>
        <v>mcg</v>
      </c>
    </row>
    <row r="57" hidden="1">
      <c r="A57" s="385" t="s">
        <v>197</v>
      </c>
    </row>
    <row r="58">
      <c r="A58" s="386" t="s">
        <v>198</v>
      </c>
      <c r="B58" s="387"/>
      <c r="C58" s="318"/>
      <c r="D58" s="381"/>
      <c r="E58" s="381"/>
      <c r="F58" s="381"/>
      <c r="G58" s="381"/>
      <c r="H58" s="381"/>
      <c r="I58" s="381"/>
      <c r="J58" s="388"/>
    </row>
    <row r="59">
      <c r="A59" s="355" t="s">
        <v>199</v>
      </c>
      <c r="B59" s="356"/>
      <c r="C59" s="389" t="str">
        <f>'Balanced Recipe Data'!H94</f>
        <v>1.23 : 1</v>
      </c>
      <c r="D59" s="239"/>
      <c r="E59" s="356"/>
      <c r="F59" s="356"/>
      <c r="G59" s="356"/>
      <c r="H59" s="356"/>
      <c r="I59" s="355"/>
      <c r="J59" s="356"/>
    </row>
    <row r="60">
      <c r="A60" s="357" t="s">
        <v>200</v>
      </c>
      <c r="B60" s="358"/>
      <c r="C60" s="390" t="str">
        <f>'Balanced Recipe Data'!S94</f>
        <v>6.68 : 1</v>
      </c>
      <c r="D60" s="248"/>
      <c r="E60" s="358"/>
      <c r="F60" s="358"/>
      <c r="G60" s="358"/>
      <c r="H60" s="358"/>
      <c r="I60" s="358"/>
      <c r="J60" s="358"/>
    </row>
  </sheetData>
  <mergeCells count="21">
    <mergeCell ref="C43:D43"/>
    <mergeCell ref="G43:H43"/>
    <mergeCell ref="I43:J43"/>
    <mergeCell ref="A46:J46"/>
    <mergeCell ref="A57:J57"/>
    <mergeCell ref="C59:D59"/>
    <mergeCell ref="C60:D60"/>
    <mergeCell ref="A42:J42"/>
    <mergeCell ref="C23:D23"/>
    <mergeCell ref="G23:H23"/>
    <mergeCell ref="I23:J23"/>
    <mergeCell ref="C29:D29"/>
    <mergeCell ref="G29:H29"/>
    <mergeCell ref="I29:J29"/>
    <mergeCell ref="A1:J1"/>
    <mergeCell ref="I3:J3"/>
    <mergeCell ref="I4:J4"/>
    <mergeCell ref="I5:J5"/>
    <mergeCell ref="C8:D8"/>
    <mergeCell ref="G8:H8"/>
    <mergeCell ref="I8:J8"/>
  </mergeCells>
  <conditionalFormatting sqref="A9:J9">
    <cfRule type="expression" dxfId="3" priority="1">
      <formula>$C$9&lt;$I$9</formula>
    </cfRule>
  </conditionalFormatting>
  <conditionalFormatting sqref="A19:J19">
    <cfRule type="expression" dxfId="3" priority="2">
      <formula>$C$19&lt;$I$19</formula>
    </cfRule>
  </conditionalFormatting>
  <conditionalFormatting sqref="A11:J11">
    <cfRule type="expression" dxfId="3" priority="3">
      <formula>$C$11&lt;$I$11</formula>
    </cfRule>
  </conditionalFormatting>
  <conditionalFormatting sqref="A12:J12">
    <cfRule type="expression" dxfId="3" priority="4">
      <formula>$C$12&lt;$I$12</formula>
    </cfRule>
  </conditionalFormatting>
  <conditionalFormatting sqref="A13:J13">
    <cfRule type="expression" dxfId="3" priority="5">
      <formula>$C$13&lt;$I$13</formula>
    </cfRule>
  </conditionalFormatting>
  <conditionalFormatting sqref="A14:J14">
    <cfRule type="expression" dxfId="3" priority="6">
      <formula>$C$14&lt;$I$14</formula>
    </cfRule>
  </conditionalFormatting>
  <conditionalFormatting sqref="A15:J15">
    <cfRule type="expression" dxfId="3" priority="7">
      <formula>$C$15&lt;$I$15</formula>
    </cfRule>
  </conditionalFormatting>
  <conditionalFormatting sqref="A16:J16">
    <cfRule type="expression" dxfId="3" priority="8">
      <formula>$C$16&lt;$I$16</formula>
    </cfRule>
  </conditionalFormatting>
  <conditionalFormatting sqref="A17:J17">
    <cfRule type="expression" dxfId="3" priority="9">
      <formula>$C$17&lt;$I$17</formula>
    </cfRule>
  </conditionalFormatting>
  <conditionalFormatting sqref="A18:J18">
    <cfRule type="expression" dxfId="3" priority="10">
      <formula>$C$18&lt;$I$18</formula>
    </cfRule>
  </conditionalFormatting>
  <conditionalFormatting sqref="A10:J10">
    <cfRule type="expression" dxfId="3" priority="11">
      <formula>$C$10&lt;$I$10</formula>
    </cfRule>
  </conditionalFormatting>
  <conditionalFormatting sqref="A20:J20">
    <cfRule type="expression" dxfId="3" priority="12">
      <formula>$C$20&lt;$I$20</formula>
    </cfRule>
  </conditionalFormatting>
  <conditionalFormatting sqref="A21:J21">
    <cfRule type="expression" dxfId="3" priority="13">
      <formula>$C$21&lt;$I$21</formula>
    </cfRule>
  </conditionalFormatting>
  <conditionalFormatting sqref="A22:J22">
    <cfRule type="expression" dxfId="3" priority="14">
      <formula>$C$22&lt;$I$22</formula>
    </cfRule>
  </conditionalFormatting>
  <conditionalFormatting sqref="A28:J28">
    <cfRule type="expression" dxfId="3" priority="15">
      <formula>$C$28&lt;$I$28</formula>
    </cfRule>
  </conditionalFormatting>
  <conditionalFormatting sqref="A25:J25">
    <cfRule type="expression" dxfId="3" priority="16">
      <formula>$C$25&lt;$I$25</formula>
    </cfRule>
  </conditionalFormatting>
  <conditionalFormatting sqref="A24:J24">
    <cfRule type="expression" dxfId="3" priority="17">
      <formula>$C$24&lt;$I$24</formula>
    </cfRule>
  </conditionalFormatting>
  <conditionalFormatting sqref="A27:J27">
    <cfRule type="expression" dxfId="3" priority="18">
      <formula>$C$27&lt;$I$27</formula>
    </cfRule>
  </conditionalFormatting>
  <conditionalFormatting sqref="A30:J30">
    <cfRule type="expression" dxfId="3" priority="19">
      <formula>$C$30&lt;$I$30</formula>
    </cfRule>
  </conditionalFormatting>
  <conditionalFormatting sqref="A31:J31">
    <cfRule type="expression" dxfId="3" priority="20">
      <formula>$C$31&lt;$I$31</formula>
    </cfRule>
  </conditionalFormatting>
  <conditionalFormatting sqref="A32:J32">
    <cfRule type="expression" dxfId="3" priority="21">
      <formula>$C$32&lt;$I$32</formula>
    </cfRule>
  </conditionalFormatting>
  <conditionalFormatting sqref="A33:J33">
    <cfRule type="expression" dxfId="3" priority="22">
      <formula>$C$33&lt;$I$33</formula>
    </cfRule>
  </conditionalFormatting>
  <conditionalFormatting sqref="A34:J34">
    <cfRule type="expression" dxfId="3" priority="23">
      <formula>$C$34&lt;$I$34</formula>
    </cfRule>
  </conditionalFormatting>
  <conditionalFormatting sqref="A35:J35">
    <cfRule type="expression" dxfId="3" priority="24">
      <formula>$C$35&lt;$I$35</formula>
    </cfRule>
  </conditionalFormatting>
  <conditionalFormatting sqref="A36:J36">
    <cfRule type="expression" dxfId="3" priority="25">
      <formula>$C$36&lt;$I$36</formula>
    </cfRule>
  </conditionalFormatting>
  <conditionalFormatting sqref="A37:J37">
    <cfRule type="expression" dxfId="3" priority="26">
      <formula>$C$37&lt;$I$37</formula>
    </cfRule>
  </conditionalFormatting>
  <conditionalFormatting sqref="A38:J38">
    <cfRule type="expression" dxfId="3" priority="27">
      <formula>$C$38&lt;$I$38</formula>
    </cfRule>
  </conditionalFormatting>
  <conditionalFormatting sqref="A39:J39">
    <cfRule type="expression" dxfId="3" priority="28">
      <formula>$C$39&lt;$I$39</formula>
    </cfRule>
  </conditionalFormatting>
  <conditionalFormatting sqref="A40:J40">
    <cfRule type="expression" dxfId="3" priority="29">
      <formula>$C$40&lt;$I$40</formula>
    </cfRule>
  </conditionalFormatting>
  <conditionalFormatting sqref="A41:J41">
    <cfRule type="expression" dxfId="4" priority="30">
      <formula>$C$41&lt;$I$41</formula>
    </cfRule>
  </conditionalFormatting>
  <conditionalFormatting sqref="A44:J44">
    <cfRule type="expression" dxfId="4" priority="31">
      <formula>$C$44&lt;$I$44</formula>
    </cfRule>
  </conditionalFormatting>
  <conditionalFormatting sqref="A45:J45">
    <cfRule type="expression" dxfId="4" priority="32">
      <formula>$C$45&lt;$I$45</formula>
    </cfRule>
  </conditionalFormatting>
  <conditionalFormatting sqref="A50:J50">
    <cfRule type="expression" dxfId="3" priority="33">
      <formula>$C$50&lt;$I$50</formula>
    </cfRule>
  </conditionalFormatting>
  <conditionalFormatting sqref="A48:J48">
    <cfRule type="expression" dxfId="3" priority="34">
      <formula>$C$48&lt;$I$48</formula>
    </cfRule>
  </conditionalFormatting>
  <conditionalFormatting sqref="A49:J49">
    <cfRule type="expression" dxfId="3" priority="35">
      <formula>$C$49&lt;$I$49</formula>
    </cfRule>
  </conditionalFormatting>
  <conditionalFormatting sqref="A47:J47">
    <cfRule type="expression" dxfId="3" priority="36">
      <formula>$C$47&lt;$I$47</formula>
    </cfRule>
  </conditionalFormatting>
  <conditionalFormatting sqref="A51:J51">
    <cfRule type="expression" dxfId="3" priority="37">
      <formula>$C$51&lt;$I$51</formula>
    </cfRule>
  </conditionalFormatting>
  <conditionalFormatting sqref="A52:J52">
    <cfRule type="expression" dxfId="3" priority="38">
      <formula>$C$52&lt;$I$52</formula>
    </cfRule>
  </conditionalFormatting>
  <conditionalFormatting sqref="A53:J53">
    <cfRule type="expression" dxfId="3" priority="39">
      <formula>$C$53&lt;$I$53</formula>
    </cfRule>
  </conditionalFormatting>
  <conditionalFormatting sqref="A54:J54">
    <cfRule type="expression" dxfId="3" priority="40">
      <formula>$C$54&lt;$I$54</formula>
    </cfRule>
  </conditionalFormatting>
  <conditionalFormatting sqref="A55:J55">
    <cfRule type="expression" dxfId="3" priority="41">
      <formula>$C$55&lt;$I$55</formula>
    </cfRule>
  </conditionalFormatting>
  <conditionalFormatting sqref="A56:J56">
    <cfRule type="expression" dxfId="4" priority="42">
      <formula>$C$56&lt;$I$56</formula>
    </cfRule>
  </conditionalFormatting>
  <dataValidations>
    <dataValidation type="list" allowBlank="1" sqref="I5">
      <formula1>"ADULT MAINTENANCE,GROWTH &amp; DEVELOPMENT,GESTATION &amp; LACTATION"</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7.63"/>
    <col customWidth="1" min="2" max="2" width="24.63"/>
    <col customWidth="1" min="3" max="3" width="8.25"/>
    <col customWidth="1" min="4" max="4" width="1.88"/>
    <col customWidth="1" min="5" max="6" width="8.25"/>
    <col customWidth="1" min="7" max="7" width="1.88"/>
    <col customWidth="1" min="8" max="8" width="8.25"/>
    <col customWidth="1" min="9" max="11" width="9.0"/>
  </cols>
  <sheetData>
    <row r="1">
      <c r="A1" s="391" t="str">
        <f>CONCATENATE('Balanced Recipe'!A1," SHOPPING LIST")</f>
        <v>BALANCED RECIPE SHOPPING LIST</v>
      </c>
    </row>
    <row r="2" ht="15.75" customHeight="1">
      <c r="A2" s="392"/>
      <c r="B2" s="392"/>
      <c r="C2" s="392"/>
      <c r="D2" s="392"/>
      <c r="F2" s="393"/>
      <c r="G2" s="393"/>
      <c r="H2" s="393"/>
      <c r="I2" s="392"/>
      <c r="J2" s="392"/>
      <c r="K2" s="392"/>
    </row>
    <row r="3" ht="15.75" customHeight="1">
      <c r="A3" s="394" t="s">
        <v>118</v>
      </c>
      <c r="B3" s="395"/>
      <c r="C3" s="395"/>
      <c r="D3" s="395"/>
      <c r="E3" s="177"/>
      <c r="F3" s="396"/>
      <c r="G3" s="396"/>
      <c r="H3" s="177"/>
      <c r="I3" s="395"/>
      <c r="J3" s="395"/>
      <c r="K3" s="396" t="str">
        <f>'Balanced Recipe'!L3</f>
        <v>PET NAME</v>
      </c>
    </row>
    <row r="4" ht="15.75" customHeight="1">
      <c r="A4" s="394" t="s">
        <v>122</v>
      </c>
      <c r="B4" s="395"/>
      <c r="C4" s="395"/>
      <c r="D4" s="395"/>
      <c r="E4" s="177"/>
      <c r="F4" s="396"/>
      <c r="G4" s="397"/>
      <c r="H4" s="179"/>
      <c r="I4" s="396" t="str">
        <f>'Balanced Recipe'!K5</f>
        <v>ALL LIFE STAGE</v>
      </c>
      <c r="J4" s="177"/>
      <c r="K4" s="177"/>
    </row>
    <row r="5" ht="15.75" customHeight="1">
      <c r="A5" s="394" t="s">
        <v>202</v>
      </c>
      <c r="B5" s="394"/>
      <c r="C5" s="394"/>
      <c r="D5" s="394"/>
      <c r="E5" s="177"/>
      <c r="F5" s="398"/>
      <c r="G5" s="399"/>
      <c r="H5" s="179"/>
      <c r="I5" s="394"/>
      <c r="J5" s="208">
        <v>30.0</v>
      </c>
      <c r="K5" s="209"/>
    </row>
    <row r="6" ht="15.75" customHeight="1">
      <c r="A6" s="394" t="str">
        <f>concatenate('Balanced Recipe Shopping List'!J5," Day Total Weight in ",'Balanced Recipe'!$M$4)</f>
        <v>30 Day Total Weight in LB</v>
      </c>
      <c r="B6" s="394"/>
      <c r="C6" s="394"/>
      <c r="D6" s="394"/>
      <c r="E6" s="177"/>
      <c r="F6" s="398"/>
      <c r="G6" s="399"/>
      <c r="H6" s="179"/>
      <c r="I6" s="400"/>
      <c r="J6" s="394"/>
      <c r="K6" s="398">
        <f>sum(I21)</f>
        <v>44.97998561</v>
      </c>
    </row>
    <row r="7" ht="15.75" customHeight="1">
      <c r="A7" s="395" t="str">
        <f>concatenate("Average Price Per ",'Balanced Recipe'!M4)</f>
        <v>Average Price Per LB</v>
      </c>
      <c r="B7" s="395"/>
      <c r="C7" s="395"/>
      <c r="D7" s="395"/>
      <c r="E7" s="179"/>
      <c r="F7" s="396"/>
      <c r="G7" s="397"/>
      <c r="H7" s="179"/>
      <c r="I7" s="401"/>
      <c r="J7" s="395"/>
      <c r="K7" s="396">
        <f>sum(K10/K6)</f>
        <v>3.093631341</v>
      </c>
    </row>
    <row r="8" ht="15.75" hidden="1" customHeight="1">
      <c r="A8" s="401" t="s">
        <v>203</v>
      </c>
      <c r="B8" s="401"/>
      <c r="C8" s="401"/>
      <c r="D8" s="401"/>
      <c r="E8" s="179"/>
      <c r="F8" s="214"/>
      <c r="G8" s="214"/>
      <c r="H8" s="179"/>
      <c r="I8" s="401"/>
      <c r="J8" s="401"/>
      <c r="K8" s="214">
        <v>1.0</v>
      </c>
    </row>
    <row r="9" ht="15.75" customHeight="1">
      <c r="A9" s="402" t="s">
        <v>204</v>
      </c>
      <c r="B9" s="402"/>
      <c r="C9" s="402"/>
      <c r="D9" s="402"/>
      <c r="E9" s="403"/>
      <c r="F9" s="404"/>
      <c r="G9" s="404"/>
      <c r="H9" s="405"/>
      <c r="I9" s="402"/>
      <c r="J9" s="402"/>
      <c r="K9" s="404">
        <f>K10/'Balanced Recipe Shopping List'!J5</f>
        <v>4.638383107</v>
      </c>
    </row>
    <row r="10" ht="15.75" customHeight="1">
      <c r="A10" s="406" t="str">
        <f>CONCATENATE("Estimated ",'Balanced Recipe Shopping List'!J5," Day Budget")</f>
        <v>Estimated 30 Day Budget</v>
      </c>
      <c r="B10" s="406"/>
      <c r="C10" s="406"/>
      <c r="D10" s="406"/>
      <c r="E10" s="407"/>
      <c r="F10" s="408"/>
      <c r="G10" s="408"/>
      <c r="H10" s="409"/>
      <c r="I10" s="406"/>
      <c r="J10" s="406"/>
      <c r="K10" s="408">
        <f>sum(I29+K21+I38)</f>
        <v>139.1514932</v>
      </c>
    </row>
    <row r="11" ht="15.75" hidden="1" customHeight="1">
      <c r="A11" s="203"/>
      <c r="B11" s="410"/>
      <c r="C11" s="410"/>
      <c r="D11" s="203"/>
      <c r="E11" s="203"/>
      <c r="F11" s="203"/>
      <c r="G11" s="203"/>
      <c r="H11" s="203"/>
      <c r="I11" s="411"/>
      <c r="J11" s="411"/>
      <c r="K11" s="411"/>
    </row>
    <row r="12" ht="15.75" customHeight="1">
      <c r="A12" s="203"/>
      <c r="B12" s="410"/>
      <c r="C12" s="410"/>
      <c r="D12" s="203"/>
      <c r="E12" s="203"/>
      <c r="F12" s="203"/>
      <c r="G12" s="203"/>
      <c r="H12" s="203"/>
      <c r="I12" s="411"/>
      <c r="J12" s="411"/>
      <c r="K12" s="411"/>
    </row>
    <row r="13">
      <c r="A13" s="203"/>
      <c r="B13" s="410"/>
      <c r="C13" s="410"/>
      <c r="D13" s="203"/>
      <c r="E13" s="203"/>
      <c r="F13" s="203"/>
      <c r="G13" s="203"/>
      <c r="H13" s="203"/>
      <c r="I13" s="412" t="s">
        <v>205</v>
      </c>
      <c r="J13" s="413"/>
      <c r="K13" s="414"/>
    </row>
    <row r="14">
      <c r="A14" s="415" t="s">
        <v>206</v>
      </c>
      <c r="B14" s="232"/>
      <c r="C14" s="232"/>
      <c r="D14" s="232"/>
      <c r="E14" s="232"/>
      <c r="F14" s="416" t="s">
        <v>207</v>
      </c>
      <c r="G14" s="230" t="s">
        <v>208</v>
      </c>
      <c r="H14" s="417" t="str">
        <f>'Balanced Recipe'!M4</f>
        <v>LB</v>
      </c>
      <c r="I14" s="418" t="str">
        <f>concatenate("Amount needed for ", sum('Balanced Recipe Shopping List'!J5/K8), " days")</f>
        <v>Amount needed for 30 days</v>
      </c>
      <c r="J14" s="232"/>
      <c r="K14" s="234"/>
    </row>
    <row r="15">
      <c r="A15" s="419" t="str">
        <f>'Unbalanced PMR Recipe'!C11</f>
        <v>Rabbit, skinless, without organs, without fur</v>
      </c>
      <c r="B15" s="239"/>
      <c r="C15" s="239"/>
      <c r="D15" s="239"/>
      <c r="E15" s="239"/>
      <c r="F15" s="420">
        <f>if('Balanced Recipe'!$M$4="LB",2.5,if('Balanced Recipe'!$M$4="KG",sum(2.5*2.20462),""))</f>
        <v>2.5</v>
      </c>
      <c r="G15" s="421" t="s">
        <v>208</v>
      </c>
      <c r="H15" s="422" t="str">
        <f t="shared" ref="H15:H20" si="1">$H$14</f>
        <v>LB</v>
      </c>
      <c r="I15" s="423">
        <f>if( $H$14="LB",sum(( 'Balanced Recipe'!H11)*('Balanced Recipe Shopping List'!$J$5/$K$8))/16,sum(( 'Balanced Recipe'!J11)*('Balanced Recipe Shopping List'!$J$5/$K$8))/1000)</f>
        <v>30.07478832</v>
      </c>
      <c r="J15" s="424" t="str">
        <f t="shared" ref="J15:J20" si="2">H15</f>
        <v>LB</v>
      </c>
      <c r="K15" s="425">
        <f t="shared" ref="K15:K20" si="3">sum(I15*F15)</f>
        <v>75.18697079</v>
      </c>
    </row>
    <row r="16">
      <c r="A16" s="426" t="s">
        <v>210</v>
      </c>
      <c r="B16" s="427"/>
      <c r="C16" s="427"/>
      <c r="D16" s="427"/>
      <c r="E16" s="427"/>
      <c r="F16" s="428">
        <f>if('Balanced Recipe'!$M$4="LB",2.5,if('Balanced Recipe'!$M$4="KG",sum(2.5*2.20462),""))</f>
        <v>2.5</v>
      </c>
      <c r="G16" s="429" t="s">
        <v>208</v>
      </c>
      <c r="H16" s="430" t="str">
        <f t="shared" si="1"/>
        <v>LB</v>
      </c>
      <c r="I16" s="431">
        <f>if( $H$14="LB",sum(( 'Balanced Recipe'!H12)*('Balanced Recipe Shopping List'!$J$5/$K$8))/16,sum(( 'Balanced Recipe'!J12)*('Balanced Recipe Shopping List'!$J$5/$K$8))/1000)</f>
        <v>7.931812304</v>
      </c>
      <c r="J16" s="432" t="str">
        <f t="shared" si="2"/>
        <v>LB</v>
      </c>
      <c r="K16" s="433">
        <f t="shared" si="3"/>
        <v>19.82953076</v>
      </c>
    </row>
    <row r="17">
      <c r="A17" s="419" t="s">
        <v>211</v>
      </c>
      <c r="B17" s="239"/>
      <c r="C17" s="239"/>
      <c r="D17" s="239"/>
      <c r="E17" s="239"/>
      <c r="F17" s="420">
        <f>if('Balanced Recipe'!$M$4="LB",2.5,if('Balanced Recipe'!$M$4="KG",sum(2.5*2.20462),""))</f>
        <v>2.5</v>
      </c>
      <c r="G17" s="421" t="s">
        <v>208</v>
      </c>
      <c r="H17" s="422" t="str">
        <f t="shared" si="1"/>
        <v>LB</v>
      </c>
      <c r="I17" s="423">
        <f>if( $H$14="LB",sum(( 'Balanced Recipe'!H13)*('Balanced Recipe Shopping List'!$J$5/$K$8))/16,sum(( 'Balanced Recipe'!J13)*('Balanced Recipe Shopping List'!$J$5/$K$8))/1000)</f>
        <v>1.982953076</v>
      </c>
      <c r="J17" s="424" t="str">
        <f t="shared" si="2"/>
        <v>LB</v>
      </c>
      <c r="K17" s="425">
        <f t="shared" si="3"/>
        <v>4.95738269</v>
      </c>
    </row>
    <row r="18">
      <c r="A18" s="426" t="s">
        <v>395</v>
      </c>
      <c r="B18" s="427"/>
      <c r="C18" s="427"/>
      <c r="D18" s="427"/>
      <c r="E18" s="427"/>
      <c r="F18" s="428">
        <f>if('Balanced Recipe'!$M$4="LB",2.5,if('Balanced Recipe'!$M$4="KG",sum(2.5*2.20462),""))</f>
        <v>2.5</v>
      </c>
      <c r="G18" s="429" t="s">
        <v>208</v>
      </c>
      <c r="H18" s="430" t="str">
        <f t="shared" si="1"/>
        <v>LB</v>
      </c>
      <c r="I18" s="431">
        <f>if( $H$14="LB",sum(( 'Balanced Recipe'!H14)*('Balanced Recipe Shopping List'!$J$5/$K$8))/16,sum(( 'Balanced Recipe'!J14)*('Balanced Recipe Shopping List'!$J$5/$K$8))/1000)</f>
        <v>3.304921793</v>
      </c>
      <c r="J18" s="432" t="str">
        <f t="shared" si="2"/>
        <v>LB</v>
      </c>
      <c r="K18" s="433">
        <f t="shared" si="3"/>
        <v>8.262304483</v>
      </c>
    </row>
    <row r="19">
      <c r="A19" s="419" t="s">
        <v>396</v>
      </c>
      <c r="B19" s="239"/>
      <c r="C19" s="239"/>
      <c r="D19" s="239"/>
      <c r="E19" s="239"/>
      <c r="F19" s="420">
        <f>if('Balanced Recipe'!$M$4="LB",2.5,if('Balanced Recipe'!$M$4="KG",sum(2.5*2.20462),""))</f>
        <v>2.5</v>
      </c>
      <c r="G19" s="421" t="s">
        <v>208</v>
      </c>
      <c r="H19" s="422" t="str">
        <f t="shared" si="1"/>
        <v>LB</v>
      </c>
      <c r="I19" s="423">
        <f>if( $H$14="LB",sum(( 'Balanced Recipe'!H15)*('Balanced Recipe Shopping List'!$J$5/$K$8))/16,sum(( 'Balanced Recipe'!J15)*('Balanced Recipe Shopping List'!$J$5/$K$8))/1000)</f>
        <v>1.652460897</v>
      </c>
      <c r="J19" s="424" t="str">
        <f t="shared" si="2"/>
        <v>LB</v>
      </c>
      <c r="K19" s="425">
        <f t="shared" si="3"/>
        <v>4.131152241</v>
      </c>
    </row>
    <row r="20">
      <c r="A20" s="426" t="s">
        <v>397</v>
      </c>
      <c r="B20" s="427"/>
      <c r="C20" s="427"/>
      <c r="D20" s="427"/>
      <c r="E20" s="427"/>
      <c r="F20" s="428">
        <f>if('Balanced Recipe'!$M$4="LB",2.5,if('Balanced Recipe'!$M$4="KG",sum(2.5*2.20462),""))</f>
        <v>2.5</v>
      </c>
      <c r="G20" s="429" t="s">
        <v>208</v>
      </c>
      <c r="H20" s="430" t="str">
        <f t="shared" si="1"/>
        <v>LB</v>
      </c>
      <c r="I20" s="431">
        <f>if( $H$14="LB",sum(( 'Balanced Recipe'!H16)*('Balanced Recipe Shopping List'!$J$5/$K$8))/16,sum(( 'Balanced Recipe'!J16)*('Balanced Recipe Shopping List'!$J$5/$K$8))/1000)</f>
        <v>0.03304921793</v>
      </c>
      <c r="J20" s="432" t="str">
        <f t="shared" si="2"/>
        <v>LB</v>
      </c>
      <c r="K20" s="433">
        <f t="shared" si="3"/>
        <v>0.08262304483</v>
      </c>
    </row>
    <row r="21">
      <c r="A21" s="434"/>
      <c r="B21" s="435"/>
      <c r="C21" s="435"/>
      <c r="D21" s="436"/>
      <c r="E21" s="437"/>
      <c r="F21" s="438"/>
      <c r="G21" s="438"/>
      <c r="H21" s="438"/>
      <c r="I21" s="439">
        <f>sum( I15:I20)</f>
        <v>44.97998561</v>
      </c>
      <c r="J21" s="440" t="str">
        <f>H14</f>
        <v>LB</v>
      </c>
      <c r="K21" s="441">
        <f>sum(K15:K20)</f>
        <v>112.449964</v>
      </c>
    </row>
    <row r="22" ht="15.75" customHeight="1">
      <c r="A22" s="434"/>
      <c r="B22" s="503"/>
      <c r="C22" s="503"/>
      <c r="D22" s="436"/>
      <c r="E22" s="437"/>
      <c r="F22" s="438"/>
      <c r="G22" s="438"/>
      <c r="H22" s="438"/>
      <c r="I22" s="277"/>
      <c r="J22" s="504"/>
      <c r="K22" s="505"/>
    </row>
    <row r="23">
      <c r="A23" s="203"/>
      <c r="B23" s="410"/>
      <c r="C23" s="410"/>
      <c r="D23" s="203"/>
      <c r="E23" s="203"/>
      <c r="F23" s="203"/>
      <c r="G23" s="203"/>
      <c r="H23" s="203"/>
      <c r="I23" s="412" t="s">
        <v>398</v>
      </c>
      <c r="J23" s="413"/>
      <c r="K23" s="414"/>
    </row>
    <row r="24">
      <c r="A24" s="415" t="s">
        <v>381</v>
      </c>
      <c r="B24" s="234"/>
      <c r="C24" s="416" t="s">
        <v>207</v>
      </c>
      <c r="D24" s="230" t="s">
        <v>208</v>
      </c>
      <c r="E24" s="417" t="s">
        <v>382</v>
      </c>
      <c r="F24" s="598" t="s">
        <v>6</v>
      </c>
      <c r="G24" s="280"/>
      <c r="H24" s="209"/>
      <c r="I24" s="599" t="str">
        <f>concatenate("Amount needed for ", sum('Balanced Recipe Shopping List'!J5), " days")</f>
        <v>Amount needed for 30 days</v>
      </c>
      <c r="J24" s="232"/>
      <c r="K24" s="234"/>
    </row>
    <row r="25">
      <c r="A25" s="506" t="s">
        <v>42</v>
      </c>
      <c r="B25" s="239"/>
      <c r="C25" s="507">
        <f>IF('Balanced Recipe Shopping List'!$F$24="Amazon",vlookup(A25,'Supplement Master List'!$A$2:$Q$1032,10,false),IF('Balanced Recipe Shopping List'!$F$24="iHerb",vlookup(A25,'Supplement Master List'!$A$2:$Q$1032,14,false)," "))</f>
        <v>9.99</v>
      </c>
      <c r="D25" s="508" t="s">
        <v>208</v>
      </c>
      <c r="E25" s="509" t="str">
        <f>IF('Balanced Recipe Shopping List'!$F$24="Amazon",vlookup(A25,'Supplement Master List'!$A$2:$Q$1032,11,false),IF('Balanced Recipe Shopping List'!$F$24="iHerb",vlookup(A25,'Supplement Master List'!$A$2:$Q$1032,15,false)," "))</f>
        <v>2 LB</v>
      </c>
      <c r="F25" s="510" t="str">
        <f>if('Balanced Recipe Shopping List'!$F$24="Amazon",vlookup(A25,'Supplement Master List'!$A$2:$Q$1032,12,false),if('Balanced Recipe Shopping List'!$F$24="iHerb",vlookup(A25,'Supplement Master List'!$A$2:$Q$1032,13,false)))</f>
        <v>URL</v>
      </c>
      <c r="G25" s="239"/>
      <c r="H25" s="239"/>
      <c r="I25" s="511">
        <f>sum( 'Balanced Recipe'!H18)*'Balanced Recipe Shopping List'!$J$5/$K$8</f>
        <v>119.929002</v>
      </c>
      <c r="J25" s="512" t="str">
        <f>vlookup(A25,'Supplement Master List'!$A$2:$Q$1032,8,false)</f>
        <v>G</v>
      </c>
      <c r="K25" s="425">
        <f>sum(C25/(vlookup(A25,'Supplement Master List'!$A$2:$Q$1032,16,false)))*I25</f>
        <v>1.320646749</v>
      </c>
    </row>
    <row r="26">
      <c r="A26" s="513" t="s">
        <v>25</v>
      </c>
      <c r="B26" s="248"/>
      <c r="C26" s="514">
        <f>IF('Balanced Recipe Shopping List'!$F$24="Amazon",vlookup(A26,'Supplement Master List'!$A$2:$Q$1032,10,false),IF('Balanced Recipe Shopping List'!$F$24="iHerb",vlookup(A26,'Supplement Master List'!$A$2:$Q$1032,14,false)," "))</f>
        <v>15.48</v>
      </c>
      <c r="D26" s="535" t="s">
        <v>208</v>
      </c>
      <c r="E26" s="516" t="str">
        <f>IF('Balanced Recipe Shopping List'!$F$24="Amazon",vlookup(A26,'Supplement Master List'!$A$2:$Q$1032,11,false),IF('Balanced Recipe Shopping List'!$F$24="iHerb",vlookup(A26,'Supplement Master List'!$A$2:$Q$1032,15,false)," "))</f>
        <v>BOTTLE</v>
      </c>
      <c r="F26" s="537" t="str">
        <f>if('Balanced Recipe Shopping List'!$F$24="Amazon",vlookup(A26,'Supplement Master List'!$A$2:$Q$1032,12,false),if('Balanced Recipe Shopping List'!$F$24="iHerb",vlookup(A26,'Supplement Master List'!$A$2:$Q$1032,13,false)))</f>
        <v>URL</v>
      </c>
      <c r="G26" s="427"/>
      <c r="H26" s="427"/>
      <c r="I26" s="518">
        <f>sum('Balanced Recipe'!H24)*'Balanced Recipe Shopping List'!$J$5</f>
        <v>94.86166008</v>
      </c>
      <c r="J26" s="538" t="str">
        <f>vlookup(A26,'Supplement Master List'!$A$2:$Q$1032,8,false)</f>
        <v>DROP</v>
      </c>
      <c r="K26" s="520">
        <f>sum(C26/(vlookup(A26,'Supplement Master List'!$A$2:$Q$1032,16,false)))*I26</f>
        <v>1.957944664</v>
      </c>
    </row>
    <row r="27">
      <c r="A27" s="526" t="s">
        <v>68</v>
      </c>
      <c r="B27" s="257"/>
      <c r="C27" s="527">
        <f>IF('Balanced Recipe Shopping List'!$F$24="Amazon",vlookup(A27,'Supplement Master List'!$A$2:$Q$1032,10,false),IF('Balanced Recipe Shopping List'!$F$24="iHerb",vlookup(A27,'Supplement Master List'!$A$2:$Q$1032,14,false)," "))</f>
        <v>8.47</v>
      </c>
      <c r="D27" s="508" t="s">
        <v>208</v>
      </c>
      <c r="E27" s="529" t="str">
        <f>IF('Balanced Recipe Shopping List'!$F$24="Amazon",vlookup(A27,'Supplement Master List'!$A$2:$Q$1032,11,false),IF('Balanced Recipe Shopping List'!$F$24="iHerb",vlookup(A27,'Supplement Master List'!$A$2:$Q$1032,15,false)," "))</f>
        <v>BOTTLE</v>
      </c>
      <c r="F27" s="510" t="str">
        <f>if('Balanced Recipe Shopping List'!$F$24="Amazon",vlookup(A27,'Supplement Master List'!$A$2:$Q$1032,12,false),if('Balanced Recipe Shopping List'!$F$24="iHerb",vlookup(A27,'Supplement Master List'!$A$2:$Q$1032,13,false)))</f>
        <v>URL</v>
      </c>
      <c r="G27" s="239"/>
      <c r="H27" s="239"/>
      <c r="I27" s="511">
        <f>sum('Balanced Recipe'!H17)*'Balanced Recipe Shopping List'!$J$5</f>
        <v>29.98225051</v>
      </c>
      <c r="J27" s="512" t="str">
        <f>vlookup(A27,'Supplement Master List'!$A$2:$Q$1032,8,false)</f>
        <v>TBSP</v>
      </c>
      <c r="K27" s="532">
        <f>sum(C27/(vlookup(A27,'Supplement Master List'!$A$2:$Q$1032,16,false)))*I27</f>
        <v>8.464988727</v>
      </c>
    </row>
    <row r="28">
      <c r="A28" s="522" t="s">
        <v>54</v>
      </c>
      <c r="B28" s="248"/>
      <c r="C28" s="514">
        <f>IF('Balanced Recipe Shopping List'!$F$24="Amazon",vlookup(A28,'Supplement Master List'!$A$2:$Q$1032,10,false),IF('Balanced Recipe Shopping List'!$F$24="iHerb",vlookup(A28,'Supplement Master List'!$A$2:$Q$1032,14,false)," "))</f>
        <v>39.92</v>
      </c>
      <c r="D28" s="535" t="s">
        <v>208</v>
      </c>
      <c r="E28" s="516" t="str">
        <f>IF('Balanced Recipe Shopping List'!$F$24="Amazon",vlookup(A28,'Supplement Master List'!$A$2:$Q$1032,11,false),IF('Balanced Recipe Shopping List'!$F$24="iHerb",vlookup(A28,'Supplement Master List'!$A$2:$Q$1032,15,false)," "))</f>
        <v>BOTTLE</v>
      </c>
      <c r="F28" s="537" t="str">
        <f>if('Balanced Recipe Shopping List'!$F$24="Amazon",vlookup(A28,'Supplement Master List'!$A$2:$Q$1032,12,false),if('Balanced Recipe Shopping List'!$F$24="iHerb",vlookup(A28,'Supplement Master List'!$A$2:$Q$1032,13,false)))</f>
        <v>URL</v>
      </c>
      <c r="G28" s="427"/>
      <c r="H28" s="427"/>
      <c r="I28" s="523">
        <f>sum('Balanced Recipe'!H23)*'Balanced Recipe Shopping List'!$J$5</f>
        <v>14.99112525</v>
      </c>
      <c r="J28" s="538" t="str">
        <f>vlookup(A28,'Supplement Master List'!$A$2:$Q$1032,8,false)</f>
        <v>TSP</v>
      </c>
      <c r="K28" s="525">
        <f>sum(C28/(vlookup(A28,'Supplement Master List'!$A$2:$Q$1032,16,false)))*I28</f>
        <v>5.984457201</v>
      </c>
    </row>
    <row r="29">
      <c r="A29" s="540"/>
      <c r="B29" s="541"/>
      <c r="C29" s="541"/>
      <c r="D29" s="540"/>
      <c r="E29" s="540"/>
      <c r="F29" s="540"/>
      <c r="G29" s="540"/>
      <c r="H29" s="540"/>
      <c r="I29" s="600">
        <f>sum(K25:K28)</f>
        <v>17.72803734</v>
      </c>
      <c r="J29" s="553"/>
      <c r="K29" s="554"/>
    </row>
    <row r="30" ht="15.75" customHeight="1">
      <c r="A30" s="540"/>
      <c r="B30" s="541"/>
      <c r="C30" s="541"/>
      <c r="D30" s="540"/>
      <c r="E30" s="540"/>
      <c r="F30" s="540"/>
      <c r="G30" s="540"/>
      <c r="H30" s="540"/>
      <c r="I30" s="544"/>
      <c r="J30" s="544"/>
      <c r="K30" s="544"/>
    </row>
    <row r="31">
      <c r="A31" s="601"/>
      <c r="B31" s="601"/>
      <c r="C31" s="601"/>
      <c r="D31" s="601"/>
      <c r="E31" s="601"/>
      <c r="F31" s="601"/>
      <c r="G31" s="601"/>
      <c r="H31" s="601"/>
      <c r="I31" s="602" t="s">
        <v>385</v>
      </c>
      <c r="J31" s="553"/>
      <c r="K31" s="554"/>
    </row>
    <row r="32">
      <c r="A32" s="603" t="s">
        <v>386</v>
      </c>
      <c r="B32" s="604"/>
      <c r="C32" s="605" t="s">
        <v>207</v>
      </c>
      <c r="D32" s="606" t="s">
        <v>208</v>
      </c>
      <c r="E32" s="607" t="s">
        <v>382</v>
      </c>
      <c r="F32" s="608" t="str">
        <f>F24</f>
        <v>Amazon</v>
      </c>
      <c r="G32" s="609"/>
      <c r="H32" s="609"/>
      <c r="I32" s="418" t="str">
        <f>I24</f>
        <v>Amount needed for 30 days</v>
      </c>
      <c r="J32" s="609"/>
      <c r="K32" s="604"/>
    </row>
    <row r="33">
      <c r="A33" s="533" t="s">
        <v>10</v>
      </c>
      <c r="B33" s="427"/>
      <c r="C33" s="534">
        <f>IF('Balanced Recipe Shopping List'!$F$24="Amazon",vlookup(A33,'Supplement Master List'!$A$2:$Q$1032,10,false),IF('Balanced Recipe Shopping List'!$F$24="iHerb",vlookup(A33,'Supplement Master List'!$A$2:$Q$1032,14,false)," "))</f>
        <v>13.6</v>
      </c>
      <c r="D33" s="535" t="s">
        <v>208</v>
      </c>
      <c r="E33" s="536" t="str">
        <f>IF('Balanced Recipe Shopping List'!$F$24="Amazon",vlookup(A33,'Supplement Master List'!$A$2:$Q$1032,11,false),IF('Balanced Recipe Shopping List'!$F$24="iHerb",vlookup(A33,'Supplement Master List'!$A$2:$Q$1032,15,false)," "))</f>
        <v>BOTTLE</v>
      </c>
      <c r="F33" s="537" t="str">
        <f>if('Balanced Recipe Shopping List'!$F$24="Amazon",vlookup(A33,'Supplement Master List'!$A$2:$Q$1032,12,false),if('Balanced Recipe Shopping List'!$F$24="iHerb",vlookup(A33,'Supplement Master List'!$A$2:$Q$1032,13,false)))</f>
        <v>URL</v>
      </c>
      <c r="G33" s="427"/>
      <c r="H33" s="427"/>
      <c r="I33" s="523">
        <f>sum('Balanced Recipe'!H25)*'Balanced Recipe Shopping List'!$J$5</f>
        <v>14.66666667</v>
      </c>
      <c r="J33" s="538" t="str">
        <f>vlookup(A33,'Supplement Master List'!$A$2:$Q$1032,8,false)</f>
        <v>SCOOP</v>
      </c>
      <c r="K33" s="433">
        <f>sum(C33/(vlookup(A33,'Supplement Master List'!$A$2:$Q$1032,16,false)))*I33</f>
        <v>0.07909066878</v>
      </c>
    </row>
    <row r="34">
      <c r="A34" s="539" t="s">
        <v>48</v>
      </c>
      <c r="B34" s="257"/>
      <c r="C34" s="527">
        <f>IF('Balanced Recipe Shopping List'!$F$24="Amazon",vlookup(A34,'Supplement Master List'!$A$2:$Q$1032,10,false),IF('Balanced Recipe Shopping List'!$F$24="iHerb",vlookup(A34,'Supplement Master List'!$A$2:$Q$1032,14,false)," "))</f>
        <v>8.24</v>
      </c>
      <c r="D34" s="508" t="s">
        <v>208</v>
      </c>
      <c r="E34" s="529" t="str">
        <f>IF('Balanced Recipe Shopping List'!$F$24="Amazon",vlookup(A34,'Supplement Master List'!$A$2:$Q$1032,11,false),IF('Balanced Recipe Shopping List'!$F$24="iHerb",vlookup(A34,'Supplement Master List'!$A$2:$Q$1032,15,false)," "))</f>
        <v>BOTTLE</v>
      </c>
      <c r="F34" s="510" t="str">
        <f>if('Balanced Recipe Shopping List'!$F$24="Amazon",vlookup(A34,'Supplement Master List'!$A$2:$Q$1032,12,false),if('Balanced Recipe Shopping List'!$F$24="iHerb",vlookup(A34,'Supplement Master List'!$A$2:$Q$1032,13,false)))</f>
        <v>URL</v>
      </c>
      <c r="G34" s="239"/>
      <c r="H34" s="239"/>
      <c r="I34" s="511">
        <f>sum('Balanced Recipe'!H19)*'Balanced Recipe Shopping List'!$J$5</f>
        <v>29.98225051</v>
      </c>
      <c r="J34" s="512" t="str">
        <f>vlookup(A34,'Supplement Master List'!$A$2:$Q$1032,8,false)</f>
        <v>PILL</v>
      </c>
      <c r="K34" s="532">
        <f>sum(C34/(vlookup(A34,'Supplement Master List'!$A$2:$Q$1032,16,false)))*I34</f>
        <v>2.470537442</v>
      </c>
    </row>
    <row r="35">
      <c r="A35" s="513" t="s">
        <v>44</v>
      </c>
      <c r="B35" s="248"/>
      <c r="C35" s="514">
        <f>IF('Balanced Recipe Shopping List'!$F$24="Amazon",vlookup(A35,'Supplement Master List'!$A$2:$Q$1032,10,false),IF('Balanced Recipe Shopping List'!$F$24="iHerb",vlookup(A35,'Supplement Master List'!$A$2:$Q$1032,14,false)," "))</f>
        <v>10</v>
      </c>
      <c r="D35" s="535" t="s">
        <v>208</v>
      </c>
      <c r="E35" s="516" t="str">
        <f>IF('Balanced Recipe Shopping List'!$F$24="Amazon",vlookup(A35,'Supplement Master List'!$A$2:$Q$1032,11,false),IF('Balanced Recipe Shopping List'!$F$24="iHerb",vlookup(A35,'Supplement Master List'!$A$2:$Q$1032,15,false)," "))</f>
        <v>BOTTLE</v>
      </c>
      <c r="F35" s="537" t="str">
        <f>if('Balanced Recipe Shopping List'!$F$24="Amazon",vlookup(A35,'Supplement Master List'!$A$2:$Q$1032,12,false),if('Balanced Recipe Shopping List'!$F$24="iHerb",vlookup(A35,'Supplement Master List'!$A$2:$Q$1032,13,false)))</f>
        <v>URL</v>
      </c>
      <c r="G35" s="427"/>
      <c r="H35" s="427"/>
      <c r="I35" s="523">
        <f>sum('Balanced Recipe'!H20)*'Balanced Recipe Shopping List'!$J$5</f>
        <v>7.495562627</v>
      </c>
      <c r="J35" s="538" t="str">
        <f>vlookup(A35,'Supplement Master List'!$A$2:$Q$1032,8,false)</f>
        <v>PILL</v>
      </c>
      <c r="K35" s="525">
        <f>sum(C35/(vlookup(A35,'Supplement Master List'!$A$2:$Q$1032,16,false)))*I35</f>
        <v>0.7495562627</v>
      </c>
    </row>
    <row r="36">
      <c r="A36" s="539" t="s">
        <v>56</v>
      </c>
      <c r="B36" s="257"/>
      <c r="C36" s="527">
        <f>IF('Balanced Recipe Shopping List'!$F$24="Amazon",vlookup(A36,'Supplement Master List'!$A$2:$Q$1032,10,false),IF('Balanced Recipe Shopping List'!$F$24="iHerb",vlookup(A36,'Supplement Master List'!$A$2:$Q$1032,14,false)," "))</f>
        <v>16.12</v>
      </c>
      <c r="D36" s="508" t="s">
        <v>208</v>
      </c>
      <c r="E36" s="529" t="str">
        <f>IF('Balanced Recipe Shopping List'!$F$24="Amazon",vlookup(A36,'Supplement Master List'!$A$2:$Q$1032,11,false),IF('Balanced Recipe Shopping List'!$F$24="iHerb",vlookup(A36,'Supplement Master List'!$A$2:$Q$1032,15,false)," "))</f>
        <v>BOTTLE</v>
      </c>
      <c r="F36" s="510" t="str">
        <f>if('Balanced Recipe Shopping List'!$F$24="Amazon",vlookup(A36,'Supplement Master List'!$A$2:$Q$1032,12,false),if('Balanced Recipe Shopping List'!$F$24="iHerb",vlookup(A36,'Supplement Master List'!$A$2:$Q$1032,13,false)))</f>
        <v>URL</v>
      </c>
      <c r="G36" s="239"/>
      <c r="H36" s="239"/>
      <c r="I36" s="511">
        <f>sum('Balanced Recipe'!H21)*'Balanced Recipe Shopping List'!$J$5</f>
        <v>29.98225051</v>
      </c>
      <c r="J36" s="512" t="str">
        <f>vlookup(A36,'Supplement Master List'!$A$2:$Q$1032,8,false)</f>
        <v>PILL</v>
      </c>
      <c r="K36" s="532">
        <f>sum(C36/(vlookup(A36,'Supplement Master List'!$A$2:$Q$1032,16,false)))*I36</f>
        <v>2.685077101</v>
      </c>
    </row>
    <row r="37">
      <c r="A37" s="522" t="s">
        <v>67</v>
      </c>
      <c r="B37" s="248"/>
      <c r="C37" s="514">
        <f>IF('Balanced Recipe Shopping List'!$F$24="Amazon",vlookup(A37,'Supplement Master List'!$A$2:$Q$1032,10,false),IF('Balanced Recipe Shopping List'!$F$24="iHerb",vlookup(A37,'Supplement Master List'!$A$2:$Q$1032,14,false)," "))</f>
        <v>9.97</v>
      </c>
      <c r="D37" s="535" t="s">
        <v>208</v>
      </c>
      <c r="E37" s="516" t="str">
        <f>IF('Balanced Recipe Shopping List'!$F$24="Amazon",vlookup(A37,'Supplement Master List'!$A$2:$Q$1032,11,false),IF('Balanced Recipe Shopping List'!$F$24="iHerb",vlookup(A37,'Supplement Master List'!$A$2:$Q$1032,15,false)," "))</f>
        <v>BOTTLE</v>
      </c>
      <c r="F37" s="537" t="str">
        <f>if('Balanced Recipe Shopping List'!$F$24="Amazon",vlookup(A37,'Supplement Master List'!$A$2:$Q$1032,12,false),if('Balanced Recipe Shopping List'!$F$24="iHerb",vlookup(A37,'Supplement Master List'!$A$2:$Q$1032,13,false)))</f>
        <v>URL</v>
      </c>
      <c r="G37" s="427"/>
      <c r="H37" s="427"/>
      <c r="I37" s="523">
        <f>sum('Balanced Recipe'!H22)*'Balanced Recipe Shopping List'!$J$5</f>
        <v>29.98225051</v>
      </c>
      <c r="J37" s="538" t="str">
        <f>vlookup(A37,'Supplement Master List'!$A$2:$Q$1032,8,false)</f>
        <v>PILL</v>
      </c>
      <c r="K37" s="525">
        <f>sum(C37/(vlookup(A37,'Supplement Master List'!$A$2:$Q$1032,16,false)))*I37</f>
        <v>2.989230376</v>
      </c>
    </row>
    <row r="38">
      <c r="A38" s="540"/>
      <c r="B38" s="541"/>
      <c r="C38" s="541"/>
      <c r="D38" s="540"/>
      <c r="E38" s="540"/>
      <c r="F38" s="540"/>
      <c r="G38" s="540"/>
      <c r="H38" s="540"/>
      <c r="I38" s="610">
        <f>sum(K33:K37)</f>
        <v>8.97349185</v>
      </c>
      <c r="J38" s="232"/>
      <c r="K38" s="234"/>
    </row>
    <row r="39">
      <c r="A39" s="611"/>
      <c r="B39" s="611"/>
      <c r="C39" s="611"/>
      <c r="D39" s="611"/>
      <c r="E39" s="611"/>
      <c r="F39" s="611"/>
      <c r="G39" s="611"/>
      <c r="H39" s="611"/>
      <c r="I39" s="611"/>
      <c r="J39" s="611"/>
      <c r="K39" s="611"/>
    </row>
    <row r="40">
      <c r="A40" s="602" t="s">
        <v>393</v>
      </c>
      <c r="B40" s="553"/>
      <c r="C40" s="553"/>
      <c r="D40" s="553"/>
      <c r="E40" s="553"/>
      <c r="F40" s="553"/>
      <c r="G40" s="553"/>
      <c r="H40" s="553"/>
      <c r="I40" s="553"/>
      <c r="J40" s="553"/>
      <c r="K40" s="554"/>
    </row>
    <row r="41">
      <c r="A41" s="612" t="str">
        <f>IF('Balanced Recipe Data'!$D$7="dog","Step 1: Prepare Vegetables",IF('Balanced Recipe Data'!$D$7="cat","Step 1: Portion Individual Supplements",""))</f>
        <v>Step 1: Prepare Vegetables</v>
      </c>
      <c r="B41" s="613"/>
      <c r="C41" s="613"/>
      <c r="D41" s="614"/>
      <c r="E41" s="614"/>
      <c r="F41" s="614"/>
      <c r="G41" s="614"/>
      <c r="H41" s="614"/>
      <c r="I41" s="615"/>
      <c r="J41" s="615"/>
      <c r="K41" s="616"/>
    </row>
    <row r="42">
      <c r="A42" s="559" t="str">
        <f>IF('Balanced Recipe Data'!$D$7="dog",CONCATENATE("Prepare the total amount of vegetables needed for ",'Balanced Recipe Shopping List'!$J$5," days of each recipe. Once the vegetables are prepared place each recipe mixture in their own separate mixing bowl."),IF('Balanced Recipe Data'!$D$7="cat",CONCATENATE("Use the supplement list above to portion out the individual supplements needed for ",'Balanced Recipe Shopping List'!$J$5," days of home prepared food. It is important to follow the unit of measurement listed for each supplement. Use a kitchen scale that measures grams to the tenth of a decimal for any supplements listed in grams."),""))</f>
        <v>Prepare the total amount of vegetables needed for 30 days of each recipe. Once the vegetables are prepared place each recipe mixture in their own separate mixing bowl.</v>
      </c>
      <c r="B42" s="177"/>
      <c r="C42" s="177"/>
      <c r="D42" s="177"/>
      <c r="E42" s="177"/>
      <c r="F42" s="177"/>
      <c r="G42" s="177"/>
      <c r="H42" s="177"/>
      <c r="I42" s="177"/>
      <c r="J42" s="177"/>
      <c r="K42" s="560"/>
    </row>
    <row r="43">
      <c r="A43" s="617" t="str">
        <f>IF('Balanced Recipe Data'!$D$7="dog","Step 2: Portion Individual Supplments",IF('Balanced Recipe Data'!$D$7="cat","Step 2: Dissolve Supplements In Liquid",""))</f>
        <v>Step 2: Portion Individual Supplments</v>
      </c>
      <c r="B43" s="618"/>
      <c r="C43" s="618"/>
      <c r="D43" s="619"/>
      <c r="E43" s="619"/>
      <c r="F43" s="619"/>
      <c r="G43" s="619"/>
      <c r="H43" s="619"/>
      <c r="I43" s="620"/>
      <c r="J43" s="620"/>
      <c r="K43" s="621"/>
    </row>
    <row r="44">
      <c r="A44" s="622" t="str">
        <f>IF('Balanced Recipe Data'!$D$7="dog",CONCATENATE("Use the charts above to portion out the individual supplements needed for ",'Balanced Recipe Shopping List'!$J$5," days of home prepared food. It is important to follow the unit of measurement listed for each supplement. Use a kitchen scale that measures grams to the tenth of a decimal for any supplements listed in grams."),IF('Balanced Recipe Data'!$D$7="cat","All of the supplements listed are dry and can be dissolved into water, bone broth, or coconut water. Be sure to thoroughly mix. This will be used to mix into the batch prepared food. Open the capsules and empty the dry supplement into the liquid of choice"&amp;". Compressed tablets will need time to dissolve in the liquid but can be crushed using a mortar and pestal or spice grinder.",""))</f>
        <v>Use the charts above to portion out the individual supplements needed for 30 days of home prepared food. It is important to follow the unit of measurement listed for each supplement. Use a kitchen scale that measures grams to the tenth of a decimal for any supplements listed in grams.</v>
      </c>
      <c r="B44" s="177"/>
      <c r="C44" s="177"/>
      <c r="D44" s="177"/>
      <c r="E44" s="177"/>
      <c r="F44" s="177"/>
      <c r="G44" s="177"/>
      <c r="H44" s="177"/>
      <c r="I44" s="177"/>
      <c r="J44" s="177"/>
      <c r="K44" s="560"/>
    </row>
    <row r="45">
      <c r="A45" s="612" t="str">
        <f>IF('Balanced Recipe Data'!$D$7="dog","Step 3: Dissolve Supplements In Liquid",IF('Balanced Recipe Data'!$D$7="cat","Step 3: Mix Supplement Liquid Into Batch Prepared Food",""))</f>
        <v>Step 3: Dissolve Supplements In Liquid</v>
      </c>
      <c r="B45" s="613"/>
      <c r="C45" s="613"/>
      <c r="D45" s="614"/>
      <c r="E45" s="614"/>
      <c r="F45" s="614"/>
      <c r="G45" s="614"/>
      <c r="H45" s="614"/>
      <c r="I45" s="615"/>
      <c r="J45" s="615"/>
      <c r="K45" s="616"/>
    </row>
    <row r="46">
      <c r="A46" s="623" t="str">
        <f>IF('Balanced Recipe Data'!$D$7="dog","All of the supplements listed are dry and can be dissolved into water, bone broth, or coconut water. Be sure to thoroughly mix. This will be used to mix into the vegetables. Open the capsules and empty the dry supplement into the liquid of choice. Compres"&amp;"sed tablets will need time to dissolve in the liquid but can be crushed using a mortar and pestal or spice grinder.",IF('Balanced Recipe Data'!$D$7="cat","First, thoroughly mix the dissolved supplements into the ground organs or eggs; and then thoroughly mix the organ/egg supplement slurry into the ground meat. Once the supplements are mixed into the food it can be portioned into individual feedings. The re"&amp;"maining liquid supplements listed in the recipe will need to be added to food at mealtime on a daily basis.",""))</f>
        <v>All of the supplements listed are dry and can be dissolved into water, bone broth, or coconut water. Be sure to thoroughly mix. This will be used to mix into the vegetables. Open the capsules and empty the dry supplement into the liquid of choice. Compressed tablets will need time to dissolve in the liquid but can be crushed using a mortar and pestal or spice grinder.</v>
      </c>
      <c r="B46" s="177"/>
      <c r="C46" s="177"/>
      <c r="D46" s="177"/>
      <c r="E46" s="177"/>
      <c r="F46" s="177"/>
      <c r="G46" s="177"/>
      <c r="H46" s="177"/>
      <c r="I46" s="177"/>
      <c r="J46" s="177"/>
      <c r="K46" s="560"/>
    </row>
    <row r="47">
      <c r="A47" s="617" t="str">
        <f>IF('Balanced Recipe Data'!$D$7="dog","Step 4: Mix Supplement Liquid Into Vegetables",IF('Balanced Recipe Data'!$D$7="cat","",""))</f>
        <v>Step 4: Mix Supplement Liquid Into Vegetables</v>
      </c>
      <c r="B47" s="618"/>
      <c r="C47" s="618"/>
      <c r="D47" s="619"/>
      <c r="E47" s="619"/>
      <c r="F47" s="619"/>
      <c r="G47" s="619"/>
      <c r="H47" s="619"/>
      <c r="I47" s="620"/>
      <c r="J47" s="620"/>
      <c r="K47" s="621"/>
    </row>
    <row r="48">
      <c r="A48" s="624" t="str">
        <f>IF('Balanced Recipe Data'!$D$7="dog","Thoroughly mix the dissolved supplements into the prepared vegetables. Once the supplements are mixed into the vegetables, the complete mixture can be portioned into individual meals or mixed together with the meat ingredients of the recipe. The remaining"&amp;" liquid supplements listed in the recipe will need to be added to food at mealtime on a daily basis.",IF('Balanced Recipe Data'!$D$7="cat","",""))</f>
        <v>Thoroughly mix the dissolved supplements into the prepared vegetables. Once the supplements are mixed into the vegetables, the complete mixture can be portioned into individual meals or mixed together with the meat ingredients of the recipe. The remaining liquid supplements listed in the recipe will need to be added to food at mealtime on a daily basis.</v>
      </c>
      <c r="B48" s="232"/>
      <c r="C48" s="232"/>
      <c r="D48" s="232"/>
      <c r="E48" s="232"/>
      <c r="F48" s="232"/>
      <c r="G48" s="232"/>
      <c r="H48" s="232"/>
      <c r="I48" s="232"/>
      <c r="J48" s="232"/>
      <c r="K48" s="234"/>
    </row>
  </sheetData>
  <mergeCells count="45">
    <mergeCell ref="A34:B34"/>
    <mergeCell ref="A35:B35"/>
    <mergeCell ref="A36:B36"/>
    <mergeCell ref="A37:B37"/>
    <mergeCell ref="A32:B32"/>
    <mergeCell ref="A33:B33"/>
    <mergeCell ref="A46:K46"/>
    <mergeCell ref="A48:K48"/>
    <mergeCell ref="F37:H37"/>
    <mergeCell ref="I38:K38"/>
    <mergeCell ref="A40:K40"/>
    <mergeCell ref="A42:K42"/>
    <mergeCell ref="A44:K44"/>
    <mergeCell ref="A1:K1"/>
    <mergeCell ref="I4:K4"/>
    <mergeCell ref="J5:K5"/>
    <mergeCell ref="I13:K13"/>
    <mergeCell ref="A14:E14"/>
    <mergeCell ref="I14:K14"/>
    <mergeCell ref="A15:E15"/>
    <mergeCell ref="A16:E16"/>
    <mergeCell ref="A17:E17"/>
    <mergeCell ref="A18:E18"/>
    <mergeCell ref="A19:E19"/>
    <mergeCell ref="A20:E20"/>
    <mergeCell ref="I23:K23"/>
    <mergeCell ref="F24:H24"/>
    <mergeCell ref="I24:K24"/>
    <mergeCell ref="A24:B24"/>
    <mergeCell ref="A25:B25"/>
    <mergeCell ref="A26:B26"/>
    <mergeCell ref="A27:B27"/>
    <mergeCell ref="A28:B28"/>
    <mergeCell ref="F25:H25"/>
    <mergeCell ref="F26:H26"/>
    <mergeCell ref="F27:H27"/>
    <mergeCell ref="F28:H28"/>
    <mergeCell ref="I29:K29"/>
    <mergeCell ref="I31:K31"/>
    <mergeCell ref="F32:H32"/>
    <mergeCell ref="I32:K32"/>
    <mergeCell ref="F33:H33"/>
    <mergeCell ref="F34:H34"/>
    <mergeCell ref="F35:H35"/>
    <mergeCell ref="F36:H36"/>
  </mergeCells>
  <dataValidations>
    <dataValidation type="list" allowBlank="1" sqref="A33">
      <formula1>'Supplement Master List'!$A$2:$A$7</formula1>
    </dataValidation>
    <dataValidation type="list" allowBlank="1" sqref="F24">
      <formula1>'Supplement Master List'!$L$1:$M$1</formula1>
    </dataValidation>
    <dataValidation type="list" allowBlank="1" sqref="A15:A20">
      <formula1>'Balanced Recipe Data'!$G$98:$Q$111</formula1>
    </dataValidation>
    <dataValidation type="list" allowBlank="1" sqref="A27">
      <formula1>'Supplement Master List'!$A$44:$A$46</formula1>
    </dataValidation>
    <dataValidation type="list" allowBlank="1" sqref="A28">
      <formula1>'Supplement Master List'!$A$29:$A$32</formula1>
    </dataValidation>
    <dataValidation type="list" allowBlank="1" sqref="A25">
      <formula1>'Supplement Master List'!$A$16:$A$20</formula1>
    </dataValidation>
    <dataValidation type="list" allowBlank="1" sqref="A36">
      <formula1>'Supplement Master List'!$A$33:$A$36</formula1>
    </dataValidation>
    <dataValidation type="list" allowBlank="1" sqref="A37">
      <formula1>'Supplement Master List'!$A$42:$A$43</formula1>
    </dataValidation>
    <dataValidation type="list" allowBlank="1" sqref="A26">
      <formula1>'Supplement Master List'!$A$8:$A$14</formula1>
    </dataValidation>
    <dataValidation type="list" allowBlank="1" sqref="A35">
      <formula1>'Supplement Master List'!$A$21:$A$23</formula1>
    </dataValidation>
    <dataValidation type="list" allowBlank="1" sqref="A34">
      <formula1>'Supplement Master List'!$A$24:$A$28</formula1>
    </dataValidation>
  </dataValidations>
  <printOptions gridLines="1" horizontalCentered="1"/>
  <pageMargins bottom="0.75" footer="0.0" header="0.0" left="0.7" right="0.7" top="0.75"/>
  <pageSetup cellComments="atEnd" orientation="portrait"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5.63"/>
    <col customWidth="1" min="2" max="2" width="26.75"/>
    <col customWidth="1" min="3" max="3" width="8.25"/>
    <col customWidth="1" min="4" max="4" width="1.88"/>
    <col customWidth="1" min="5" max="5" width="8.25"/>
    <col customWidth="1" min="6" max="10" width="9.0"/>
  </cols>
  <sheetData>
    <row r="1">
      <c r="A1" s="391" t="str">
        <f>CONCATENATE('Balanced Recipe'!A1," SHOPPING LIST")</f>
        <v>BALANCED RECIPE SHOPPING LIST</v>
      </c>
    </row>
    <row r="2" ht="15.75" customHeight="1">
      <c r="A2" s="470"/>
      <c r="B2" s="471"/>
      <c r="C2" s="470"/>
      <c r="D2" s="470"/>
      <c r="F2" s="470"/>
      <c r="G2" s="470"/>
      <c r="H2" s="470"/>
      <c r="I2" s="470"/>
      <c r="J2" s="470"/>
    </row>
    <row r="3" ht="15.75" customHeight="1">
      <c r="A3" s="394" t="s">
        <v>118</v>
      </c>
      <c r="B3" s="177"/>
      <c r="C3" s="394"/>
      <c r="D3" s="394"/>
      <c r="E3" s="177"/>
      <c r="F3" s="394"/>
      <c r="G3" s="394"/>
      <c r="H3" s="394"/>
      <c r="I3" s="394"/>
      <c r="J3" s="398" t="str">
        <f>Cover!B8</f>
        <v>PET NAME</v>
      </c>
    </row>
    <row r="4" ht="15.75" customHeight="1">
      <c r="A4" s="400" t="s">
        <v>122</v>
      </c>
      <c r="B4" s="179"/>
      <c r="C4" s="400"/>
      <c r="D4" s="400"/>
      <c r="E4" s="179"/>
      <c r="F4" s="400"/>
      <c r="G4" s="400"/>
      <c r="H4" s="399" t="str">
        <f>'Balanced Recipe'!K5</f>
        <v>ALL LIFE STAGE</v>
      </c>
      <c r="I4" s="179"/>
      <c r="J4" s="179"/>
    </row>
    <row r="5" ht="15.75" customHeight="1">
      <c r="A5" s="400" t="str">
        <f>concatenate('Balanced Recipe Shopping List'!$J$5," Day Total Weight in ",'Balanced Recipe'!$M$4)</f>
        <v>30 Day Total Weight in LB</v>
      </c>
      <c r="B5" s="179"/>
      <c r="C5" s="400"/>
      <c r="D5" s="400"/>
      <c r="E5" s="179"/>
      <c r="F5" s="400"/>
      <c r="G5" s="400"/>
      <c r="H5" s="400"/>
      <c r="I5" s="400"/>
      <c r="J5" s="399" t="str">
        <f>sum(H26)</f>
        <v>#N/A</v>
      </c>
    </row>
    <row r="6" ht="15.75" customHeight="1">
      <c r="A6" s="401" t="str">
        <f>concatenate("Average Price Per ",'Balanced Recipe'!$M$4)</f>
        <v>Average Price Per LB</v>
      </c>
      <c r="B6" s="179"/>
      <c r="C6" s="401"/>
      <c r="D6" s="401"/>
      <c r="E6" s="179"/>
      <c r="F6" s="401"/>
      <c r="G6" s="401"/>
      <c r="H6" s="401"/>
      <c r="I6" s="401"/>
      <c r="J6" s="397" t="str">
        <f>sum(J9/J5)</f>
        <v>#N/A</v>
      </c>
    </row>
    <row r="7" ht="15.75" hidden="1" customHeight="1">
      <c r="A7" s="401" t="s">
        <v>203</v>
      </c>
      <c r="B7" s="179"/>
      <c r="C7" s="401"/>
      <c r="D7" s="401"/>
      <c r="E7" s="179"/>
      <c r="F7" s="401"/>
      <c r="G7" s="401"/>
      <c r="H7" s="401"/>
      <c r="I7" s="401"/>
      <c r="J7" s="214">
        <v>1.0</v>
      </c>
    </row>
    <row r="8" ht="15.75" customHeight="1">
      <c r="A8" s="402" t="s">
        <v>204</v>
      </c>
      <c r="B8" s="405"/>
      <c r="C8" s="402"/>
      <c r="D8" s="402"/>
      <c r="E8" s="403"/>
      <c r="F8" s="402"/>
      <c r="G8" s="402"/>
      <c r="H8" s="402"/>
      <c r="I8" s="402"/>
      <c r="J8" s="404" t="str">
        <f>J9/#REF!</f>
        <v>#N/A</v>
      </c>
    </row>
    <row r="9" ht="15.75" customHeight="1">
      <c r="A9" s="406" t="str">
        <f>CONCATENATE("Estimated ",'Balanced Recipe Shopping List'!$J$5," Day Budget")</f>
        <v>Estimated 30 Day Budget</v>
      </c>
      <c r="B9" s="409"/>
      <c r="C9" s="406"/>
      <c r="D9" s="406"/>
      <c r="E9" s="407"/>
      <c r="F9" s="406"/>
      <c r="G9" s="406"/>
      <c r="H9" s="406"/>
      <c r="I9" s="406"/>
      <c r="J9" s="408" t="str">
        <f>sum(H39+J26+H54)</f>
        <v>#N/A</v>
      </c>
    </row>
    <row r="10" ht="15.75" customHeight="1">
      <c r="A10" s="203"/>
      <c r="B10" s="203"/>
      <c r="C10" s="410"/>
      <c r="D10" s="203"/>
      <c r="E10" s="203"/>
      <c r="F10" s="411"/>
      <c r="G10" s="411"/>
      <c r="H10" s="411"/>
      <c r="I10" s="411"/>
      <c r="J10" s="411"/>
    </row>
    <row r="11">
      <c r="A11" s="203"/>
      <c r="B11" s="203"/>
      <c r="C11" s="410"/>
      <c r="D11" s="203"/>
      <c r="E11" s="203"/>
      <c r="F11" s="412" t="s">
        <v>205</v>
      </c>
      <c r="G11" s="413"/>
      <c r="H11" s="413"/>
      <c r="I11" s="413"/>
      <c r="J11" s="414"/>
    </row>
    <row r="12">
      <c r="A12" s="472"/>
      <c r="B12" s="473"/>
      <c r="C12" s="474"/>
      <c r="D12" s="475"/>
      <c r="E12" s="473"/>
      <c r="F12" s="476" t="str">
        <f>concatenate("Amount needed for ", sum('Recipe 2 Data'!D12/J7), " days")</f>
        <v>#REF!</v>
      </c>
      <c r="J12" s="477"/>
    </row>
    <row r="13">
      <c r="A13" s="415" t="s">
        <v>206</v>
      </c>
      <c r="B13" s="234"/>
      <c r="C13" s="416" t="s">
        <v>207</v>
      </c>
      <c r="D13" s="230" t="s">
        <v>208</v>
      </c>
      <c r="E13" s="417" t="str">
        <f>'Balanced Recipe'!$M$4</f>
        <v>LB</v>
      </c>
      <c r="F13" s="478" t="s">
        <v>365</v>
      </c>
      <c r="G13" s="479"/>
      <c r="H13" s="480" t="s">
        <v>366</v>
      </c>
      <c r="I13" s="481"/>
      <c r="J13" s="482"/>
    </row>
    <row r="14">
      <c r="A14" s="419" t="s">
        <v>367</v>
      </c>
      <c r="B14" s="239"/>
      <c r="C14" s="420">
        <f>if('Balanced Recipe'!$M$4="LB",2.5,if('Balanced Recipe'!$M$4="KG",sum(2.5*2.20462),""))</f>
        <v>2.5</v>
      </c>
      <c r="D14" s="421" t="s">
        <v>208</v>
      </c>
      <c r="E14" s="422" t="str">
        <f t="shared" ref="E14:E24" si="1">$E$13</f>
        <v>LB</v>
      </c>
      <c r="F14" s="483">
        <f>if( $E$13="LB",sum(( 'Balanced Recipe'!H11)*('Balanced Recipe Shopping List'!$J$5/$J$7))/16,sum(( 'Balanced Recipe'!J11)*('Balanced Recipe Shopping List'!$J$5/$J$7))/1000)</f>
        <v>30.07478832</v>
      </c>
      <c r="G14" s="484" t="str">
        <f t="shared" ref="G14:G25" si="2">E14</f>
        <v>LB</v>
      </c>
      <c r="H14" s="485" t="str">
        <f>sum(F14/(vlookup(A14,'Cooking Yield Data'!$A$1:$C$1014,2,false)))</f>
        <v>#N/A</v>
      </c>
      <c r="I14" s="424" t="str">
        <f t="shared" ref="I14:I25" si="3">E14</f>
        <v>LB</v>
      </c>
      <c r="J14" s="486" t="str">
        <f t="shared" ref="J14:J25" si="4">sum(H14*C14)</f>
        <v>#N/A</v>
      </c>
    </row>
    <row r="15">
      <c r="A15" s="426" t="s">
        <v>368</v>
      </c>
      <c r="B15" s="427"/>
      <c r="C15" s="428">
        <f>if('Balanced Recipe'!$M$4="LB",2.5,if('Balanced Recipe'!$M$4="KG",sum(2.5*2.20462),""))</f>
        <v>2.5</v>
      </c>
      <c r="D15" s="429" t="s">
        <v>208</v>
      </c>
      <c r="E15" s="430" t="str">
        <f t="shared" si="1"/>
        <v>LB</v>
      </c>
      <c r="F15" s="487">
        <f>if( $E$13="LB",sum(( 'Balanced Recipe'!H12)*('Balanced Recipe Shopping List'!$J$5/$J$7))/16,sum(( 'Balanced Recipe'!J12)*('Balanced Recipe Shopping List'!$J$5/$J$7))/1000)</f>
        <v>7.931812304</v>
      </c>
      <c r="G15" s="432" t="str">
        <f t="shared" si="2"/>
        <v>LB</v>
      </c>
      <c r="H15" s="488" t="str">
        <f>sum(F15/(vlookup(A15,'Cooking Yield Data'!$A$1:$C$1014,2,false)))</f>
        <v>#N/A</v>
      </c>
      <c r="I15" s="432" t="str">
        <f t="shared" si="3"/>
        <v>LB</v>
      </c>
      <c r="J15" s="489" t="str">
        <f t="shared" si="4"/>
        <v>#N/A</v>
      </c>
    </row>
    <row r="16">
      <c r="A16" s="419" t="s">
        <v>369</v>
      </c>
      <c r="B16" s="239"/>
      <c r="C16" s="420">
        <f>if('Balanced Recipe'!$M$4="LB",2.5,if('Balanced Recipe'!$M$4="KG",sum(2.5*2.20462),""))</f>
        <v>2.5</v>
      </c>
      <c r="D16" s="421" t="s">
        <v>208</v>
      </c>
      <c r="E16" s="422" t="str">
        <f t="shared" si="1"/>
        <v>LB</v>
      </c>
      <c r="F16" s="490">
        <f>if( $E$13="LB",sum(( 'Balanced Recipe'!H13)*('Balanced Recipe Shopping List'!$J$5/$J$7))/16,sum(( 'Balanced Recipe'!J13)*('Balanced Recipe Shopping List'!$J$5/$J$7))/1000)</f>
        <v>1.982953076</v>
      </c>
      <c r="G16" s="424" t="str">
        <f t="shared" si="2"/>
        <v>LB</v>
      </c>
      <c r="H16" s="485" t="str">
        <f>sum(F16/(vlookup(A16,'Cooking Yield Data'!$A$1:$C$1014,2,false)))</f>
        <v>#N/A</v>
      </c>
      <c r="I16" s="424" t="str">
        <f t="shared" si="3"/>
        <v>LB</v>
      </c>
      <c r="J16" s="486" t="str">
        <f t="shared" si="4"/>
        <v>#N/A</v>
      </c>
    </row>
    <row r="17">
      <c r="A17" s="426" t="s">
        <v>370</v>
      </c>
      <c r="B17" s="427"/>
      <c r="C17" s="428">
        <f>if('Balanced Recipe'!$M$4="LB",2.5,if('Balanced Recipe'!$M$4="KG",sum(2.5*2.20462),""))</f>
        <v>2.5</v>
      </c>
      <c r="D17" s="429" t="s">
        <v>208</v>
      </c>
      <c r="E17" s="430" t="str">
        <f t="shared" si="1"/>
        <v>LB</v>
      </c>
      <c r="F17" s="487">
        <v>0.0</v>
      </c>
      <c r="G17" s="432" t="str">
        <f t="shared" si="2"/>
        <v>LB</v>
      </c>
      <c r="H17" s="491">
        <f>if( $E$13="LB",sum(( 'Balanced Recipe'!H14)*('Balanced Recipe Shopping List'!$J$5/$J$7))/16,sum(( 'Balanced Recipe'!J14)*('Balanced Recipe Shopping List'!$J$5/$J$7))/1000)</f>
        <v>3.304921793</v>
      </c>
      <c r="I17" s="432" t="str">
        <f t="shared" si="3"/>
        <v>LB</v>
      </c>
      <c r="J17" s="489">
        <f t="shared" si="4"/>
        <v>8.262304483</v>
      </c>
    </row>
    <row r="18">
      <c r="A18" s="419" t="s">
        <v>371</v>
      </c>
      <c r="B18" s="239"/>
      <c r="C18" s="420">
        <f>if('Balanced Recipe'!$M$4="LB",2.5,if('Balanced Recipe'!$M$4="KG",sum(2.5*2.20462),""))</f>
        <v>2.5</v>
      </c>
      <c r="D18" s="421" t="s">
        <v>208</v>
      </c>
      <c r="E18" s="422" t="str">
        <f t="shared" si="1"/>
        <v>LB</v>
      </c>
      <c r="F18" s="490">
        <v>0.0</v>
      </c>
      <c r="G18" s="492" t="str">
        <f t="shared" si="2"/>
        <v>LB</v>
      </c>
      <c r="H18" s="493">
        <f>if( $E$13="LB",sum(( 'Balanced Recipe'!H15)*('Balanced Recipe Shopping List'!$J$5/$J$7))/16,sum(( 'Balanced Recipe'!J15)*('Balanced Recipe Shopping List'!$J$5/$J$7))/1000)</f>
        <v>1.652460897</v>
      </c>
      <c r="I18" s="492" t="str">
        <f t="shared" si="3"/>
        <v>LB</v>
      </c>
      <c r="J18" s="486">
        <f t="shared" si="4"/>
        <v>4.131152241</v>
      </c>
    </row>
    <row r="19">
      <c r="A19" s="426" t="s">
        <v>372</v>
      </c>
      <c r="B19" s="427"/>
      <c r="C19" s="428">
        <f>if('Balanced Recipe'!$M$4="LB",2.5,if('Balanced Recipe'!$M$4="KG",sum(2.5*2.20462),""))</f>
        <v>2.5</v>
      </c>
      <c r="D19" s="429" t="s">
        <v>208</v>
      </c>
      <c r="E19" s="430" t="str">
        <f t="shared" si="1"/>
        <v>LB</v>
      </c>
      <c r="F19" s="487">
        <f>if( $E$13="LB",sum(( 'Balanced Recipe'!H16)*('Balanced Recipe Shopping List'!$J$5/$J$7))/16,sum(( 'Balanced Recipe'!J16)*('Balanced Recipe Shopping List'!$J$5/$J$7))/1000)</f>
        <v>0.03304921793</v>
      </c>
      <c r="G19" s="432" t="str">
        <f t="shared" si="2"/>
        <v>LB</v>
      </c>
      <c r="H19" s="488" t="str">
        <f>sum(F19/(vlookup(A19,'Cooking Yield Data'!$A$1:$C$1014,2,false)))</f>
        <v>#N/A</v>
      </c>
      <c r="I19" s="432" t="str">
        <f t="shared" si="3"/>
        <v>LB</v>
      </c>
      <c r="J19" s="489" t="str">
        <f t="shared" si="4"/>
        <v>#N/A</v>
      </c>
    </row>
    <row r="20">
      <c r="A20" s="419" t="s">
        <v>373</v>
      </c>
      <c r="B20" s="239"/>
      <c r="C20" s="420">
        <f>if('Balanced Recipe'!$M$4="LB",2.5,if('Balanced Recipe'!$M$4="KG",sum(2.5*2.20462),""))</f>
        <v>2.5</v>
      </c>
      <c r="D20" s="421" t="s">
        <v>208</v>
      </c>
      <c r="E20" s="422" t="str">
        <f t="shared" si="1"/>
        <v>LB</v>
      </c>
      <c r="F20" s="490" t="str">
        <f>if( $E$13="LB",sum(( #REF!)*('Balanced Recipe Shopping List'!$J$5/$J$7))/16,sum(( #REF!)*('Balanced Recipe Shopping List'!$J$5/$J$7))/1000)</f>
        <v>#REF!</v>
      </c>
      <c r="G20" s="424" t="str">
        <f t="shared" si="2"/>
        <v>LB</v>
      </c>
      <c r="H20" s="485" t="str">
        <f>sum(F20/(vlookup(A20,'Cooking Yield Data'!$A$1:$C$1014,2,false)))</f>
        <v>#REF!</v>
      </c>
      <c r="I20" s="424" t="str">
        <f t="shared" si="3"/>
        <v>LB</v>
      </c>
      <c r="J20" s="486" t="str">
        <f t="shared" si="4"/>
        <v>#REF!</v>
      </c>
    </row>
    <row r="21">
      <c r="A21" s="426" t="s">
        <v>374</v>
      </c>
      <c r="B21" s="427"/>
      <c r="C21" s="428">
        <f>if('Balanced Recipe'!$M$4="LB",2.5,if('Balanced Recipe'!$M$4="KG",sum(2.5*2.20462),""))</f>
        <v>2.5</v>
      </c>
      <c r="D21" s="429" t="s">
        <v>208</v>
      </c>
      <c r="E21" s="430" t="str">
        <f t="shared" si="1"/>
        <v>LB</v>
      </c>
      <c r="F21" s="487" t="str">
        <f>if( $E$13="LB",sum(( #REF!)*('Balanced Recipe Shopping List'!$J$5/$J$7))/16,sum(( #REF!)*('Balanced Recipe Shopping List'!$J$5/$J$7))/1000)</f>
        <v>#REF!</v>
      </c>
      <c r="G21" s="432" t="str">
        <f t="shared" si="2"/>
        <v>LB</v>
      </c>
      <c r="H21" s="488" t="str">
        <f>sum(F21/(vlookup(A21,'Cooking Yield Data'!$A$1:$C$1014,2,false)))</f>
        <v>#REF!</v>
      </c>
      <c r="I21" s="432" t="str">
        <f t="shared" si="3"/>
        <v>LB</v>
      </c>
      <c r="J21" s="489" t="str">
        <f t="shared" si="4"/>
        <v>#REF!</v>
      </c>
    </row>
    <row r="22">
      <c r="A22" s="419" t="s">
        <v>375</v>
      </c>
      <c r="B22" s="239"/>
      <c r="C22" s="420">
        <f>if('Balanced Recipe'!$M$4="LB",2.5,if('Balanced Recipe'!$M$4="KG",sum(2.5*2.20462),""))</f>
        <v>2.5</v>
      </c>
      <c r="D22" s="421" t="s">
        <v>208</v>
      </c>
      <c r="E22" s="422" t="str">
        <f t="shared" si="1"/>
        <v>LB</v>
      </c>
      <c r="F22" s="490" t="str">
        <f>if( $E$13="LB",sum(( #REF!)*('Balanced Recipe Shopping List'!$J$5/$J$7))/16,sum(( #REF!)*('Balanced Recipe Shopping List'!$J$5/$J$7))/1000)</f>
        <v>#REF!</v>
      </c>
      <c r="G22" s="424" t="str">
        <f t="shared" si="2"/>
        <v>LB</v>
      </c>
      <c r="H22" s="485" t="str">
        <f>sum(F22/(vlookup(A22,'Cooking Yield Data'!$A$1:$C$1014,2,false)))</f>
        <v>#REF!</v>
      </c>
      <c r="I22" s="424" t="str">
        <f t="shared" si="3"/>
        <v>LB</v>
      </c>
      <c r="J22" s="486" t="str">
        <f t="shared" si="4"/>
        <v>#REF!</v>
      </c>
    </row>
    <row r="23">
      <c r="A23" s="426" t="s">
        <v>376</v>
      </c>
      <c r="B23" s="427"/>
      <c r="C23" s="428">
        <f>if('Balanced Recipe'!$M$4="LB",2.5,if('Balanced Recipe'!$M$4="KG",sum(2.5*2.20462),""))</f>
        <v>2.5</v>
      </c>
      <c r="D23" s="429" t="s">
        <v>208</v>
      </c>
      <c r="E23" s="430" t="str">
        <f t="shared" si="1"/>
        <v>LB</v>
      </c>
      <c r="F23" s="487" t="str">
        <f>if( $E$13="LB",sum(( #REF!)*('Balanced Recipe Shopping List'!$J$5/$J$7))/16,sum(( #REF!)*('Balanced Recipe Shopping List'!$J$5/$J$7))/1000)</f>
        <v>#REF!</v>
      </c>
      <c r="G23" s="432" t="str">
        <f t="shared" si="2"/>
        <v>LB</v>
      </c>
      <c r="H23" s="488" t="str">
        <f>sum(F23/(vlookup(A23,'Cooking Yield Data'!$A$1:$C$1014,2,false)))</f>
        <v>#REF!</v>
      </c>
      <c r="I23" s="432" t="str">
        <f t="shared" si="3"/>
        <v>LB</v>
      </c>
      <c r="J23" s="489" t="str">
        <f t="shared" si="4"/>
        <v>#REF!</v>
      </c>
    </row>
    <row r="24">
      <c r="A24" s="419" t="s">
        <v>377</v>
      </c>
      <c r="B24" s="239"/>
      <c r="C24" s="420">
        <f>if('Balanced Recipe'!$M$4="LB",2.5,if('Balanced Recipe'!$M$4="KG",sum(2.5*2.20462),""))</f>
        <v>2.5</v>
      </c>
      <c r="D24" s="421" t="s">
        <v>208</v>
      </c>
      <c r="E24" s="422" t="str">
        <f t="shared" si="1"/>
        <v>LB</v>
      </c>
      <c r="F24" s="490" t="str">
        <f>if( $E$13="LB",sum(( #REF!)*('Balanced Recipe Shopping List'!$J$5/$J$7))/16,sum(( #REF!)*('Balanced Recipe Shopping List'!$J$5/$J$7))/1000)</f>
        <v>#REF!</v>
      </c>
      <c r="G24" s="424" t="str">
        <f t="shared" si="2"/>
        <v>LB</v>
      </c>
      <c r="H24" s="485" t="str">
        <f>sum(F24/(vlookup(A24,'Cooking Yield Data'!$A$1:$C$1014,2,false)))</f>
        <v>#REF!</v>
      </c>
      <c r="I24" s="424" t="str">
        <f t="shared" si="3"/>
        <v>LB</v>
      </c>
      <c r="J24" s="486" t="str">
        <f t="shared" si="4"/>
        <v>#REF!</v>
      </c>
    </row>
    <row r="25">
      <c r="A25" s="426" t="s">
        <v>378</v>
      </c>
      <c r="B25" s="427"/>
      <c r="C25" s="428">
        <f>if('Balanced Recipe'!$M$4="LB",2.5,if('Balanced Recipe'!$M$4="KG",sum(2.5*2.20462),""))</f>
        <v>2.5</v>
      </c>
      <c r="D25" s="429" t="s">
        <v>208</v>
      </c>
      <c r="E25" s="430" t="s">
        <v>379</v>
      </c>
      <c r="F25" s="494" t="str">
        <f>if( $E$13="LB",sum(( #REF!)*('Balanced Recipe Shopping List'!$J$5/$J$7))/12,sum(( #REF!/50)*('Balanced Recipe Shopping List'!$J$5/$J$7))/12)</f>
        <v>#REF!</v>
      </c>
      <c r="G25" s="495" t="str">
        <f t="shared" si="2"/>
        <v>DOZ</v>
      </c>
      <c r="H25" s="496" t="str">
        <f>F25</f>
        <v>#REF!</v>
      </c>
      <c r="I25" s="495" t="str">
        <f t="shared" si="3"/>
        <v>DOZ</v>
      </c>
      <c r="J25" s="497" t="str">
        <f t="shared" si="4"/>
        <v>#REF!</v>
      </c>
    </row>
    <row r="26">
      <c r="A26" s="434"/>
      <c r="B26" s="438"/>
      <c r="C26" s="435"/>
      <c r="D26" s="436"/>
      <c r="E26" s="437"/>
      <c r="F26" s="498" t="str">
        <f>sum( F14:F25)</f>
        <v>#REF!</v>
      </c>
      <c r="G26" s="499" t="str">
        <f>$E$13</f>
        <v>LB</v>
      </c>
      <c r="H26" s="500" t="str">
        <f>sum(H14:H25)</f>
        <v>#N/A</v>
      </c>
      <c r="I26" s="501" t="str">
        <f>$E$13</f>
        <v>LB</v>
      </c>
      <c r="J26" s="502" t="str">
        <f>sum(J14:J25)</f>
        <v>#N/A</v>
      </c>
    </row>
    <row r="27" ht="15.75" customHeight="1">
      <c r="A27" s="434"/>
      <c r="B27" s="438"/>
      <c r="C27" s="503"/>
      <c r="D27" s="436"/>
      <c r="E27" s="437"/>
      <c r="F27" s="277"/>
      <c r="G27" s="504"/>
      <c r="H27" s="504"/>
      <c r="I27" s="504"/>
      <c r="J27" s="505"/>
    </row>
    <row r="28">
      <c r="A28" s="203"/>
      <c r="B28" s="203"/>
      <c r="C28" s="410"/>
      <c r="D28" s="203"/>
      <c r="E28" s="203"/>
      <c r="G28" s="411"/>
      <c r="H28" s="412" t="s">
        <v>380</v>
      </c>
      <c r="I28" s="413"/>
      <c r="J28" s="414"/>
    </row>
    <row r="29">
      <c r="A29" s="415" t="s">
        <v>381</v>
      </c>
      <c r="B29" s="234"/>
      <c r="C29" s="416" t="s">
        <v>207</v>
      </c>
      <c r="D29" s="230" t="s">
        <v>208</v>
      </c>
      <c r="E29" s="417" t="s">
        <v>382</v>
      </c>
      <c r="F29" s="231" t="str">
        <f>'Balanced Recipe Shopping List'!F24</f>
        <v>Amazon</v>
      </c>
      <c r="G29" s="232"/>
      <c r="H29" s="418" t="str">
        <f>concatenate("Amount needed for ", sum('Recipe 2 Data'!D12), " days")</f>
        <v>#REF!</v>
      </c>
      <c r="I29" s="232"/>
      <c r="J29" s="234"/>
    </row>
    <row r="30">
      <c r="A30" s="506" t="s">
        <v>383</v>
      </c>
      <c r="B30" s="239"/>
      <c r="C30" s="507" t="str">
        <f>IF($F$29="Amazon",vlookup(A30,'Supplement Master List'!$A$2:$Q$1032,10,false),IF($F$29="iHerb",vlookup(A30,'Supplement Master List'!$A$2:$Q$1032,14,false)," "))</f>
        <v>#N/A</v>
      </c>
      <c r="D30" s="508" t="s">
        <v>208</v>
      </c>
      <c r="E30" s="509" t="str">
        <f>IF($F$29="Amazon",vlookup(A30,'Supplement Master List'!$A$2:$Q$1032,11,false),IF($F$29="iHerb",vlookup(A30,'Supplement Master List'!$A$2:$Q$1032,15,false)," "))</f>
        <v>#N/A</v>
      </c>
      <c r="F30" s="510" t="str">
        <f>if($F$29="Amazon",vlookup(A30,'Supplement Master List'!$A$2:$Q$1032,12,false),if($F$29="iHerb",vlookup(A30,'Supplement Master List'!$A$2:$Q$1032,13,false)))</f>
        <v>#N/A</v>
      </c>
      <c r="G30" s="239"/>
      <c r="H30" s="511">
        <f>sum( 'Balanced Recipe'!H18)*'Balanced Recipe Shopping List'!$J$5</f>
        <v>119.929002</v>
      </c>
      <c r="I30" s="512" t="str">
        <f>vlookup(A30,'Supplement Master List'!$A$2:$Q$1032,8,false)</f>
        <v>#N/A</v>
      </c>
      <c r="J30" s="425" t="str">
        <f>sum(C30/(vlookup(A30,'Supplement Master List'!$A$2:$Q$1032,16,false)))*H30</f>
        <v>#N/A</v>
      </c>
    </row>
    <row r="31">
      <c r="A31" s="513" t="s">
        <v>172</v>
      </c>
      <c r="B31" s="248"/>
      <c r="C31" s="514" t="str">
        <f>IF($F$29="Amazon",vlookup(A31,'Supplement Master List'!$A$2:$Q$1032,10,false),IF($F$29="iHerb",vlookup(A31,'Supplement Master List'!$A$2:$Q$1032,14,false)," "))</f>
        <v>#N/A</v>
      </c>
      <c r="D31" s="515" t="s">
        <v>208</v>
      </c>
      <c r="E31" s="516" t="str">
        <f>IF($F$29="Amazon",vlookup(A31,'Supplement Master List'!$A$2:$Q$1032,11,false),IF($F$29="iHerb",vlookup(A31,'Supplement Master List'!$A$2:$Q$1032,15,false)," "))</f>
        <v>#N/A</v>
      </c>
      <c r="F31" s="517" t="str">
        <f>if($F$29="Amazon",vlookup(A31,'Supplement Master List'!$A$2:$Q$1032,12,false),if($F$29="iHerb",vlookup(A31,'Supplement Master List'!$A$2:$Q$1032,13,false)))</f>
        <v>#N/A</v>
      </c>
      <c r="G31" s="248"/>
      <c r="H31" s="518">
        <f>sum('Balanced Recipe'!H24)*'Balanced Recipe Shopping List'!$J$5</f>
        <v>94.86166008</v>
      </c>
      <c r="I31" s="519" t="str">
        <f>vlookup(A31,'Supplement Master List'!$A$2:$Q$1032,8,false)</f>
        <v>#N/A</v>
      </c>
      <c r="J31" s="520" t="str">
        <f>sum(C31/(vlookup(A31,'Supplement Master List'!$A$2:$Q$1032,16,false)))*H31</f>
        <v>#N/A</v>
      </c>
    </row>
    <row r="32">
      <c r="A32" s="521" t="s">
        <v>136</v>
      </c>
      <c r="B32" s="239"/>
      <c r="C32" s="507" t="str">
        <f>IF($F$29="Amazon",vlookup(A32,'Supplement Master List'!$A$2:$Q$1032,10,false),IF($F$29="iHerb",vlookup(A32,'Supplement Master List'!$A$2:$Q$1032,14,false)," "))</f>
        <v>#N/A</v>
      </c>
      <c r="D32" s="508" t="s">
        <v>208</v>
      </c>
      <c r="E32" s="509" t="str">
        <f>IF($F$29="Amazon",vlookup(A32,'Supplement Master List'!$A$2:$Q$1032,11,false),IF($F$29="iHerb",vlookup(A32,'Supplement Master List'!$A$2:$Q$1032,15,false)," "))</f>
        <v>#N/A</v>
      </c>
      <c r="F32" s="510" t="str">
        <f>if($F$29="Amazon",vlookup(A32,'Supplement Master List'!$A$2:$Q$1032,12,false),if($F$29="iHerb",vlookup(A32,'Supplement Master List'!$A$2:$Q$1032,13,false)))</f>
        <v>#N/A</v>
      </c>
      <c r="G32" s="239"/>
      <c r="H32" s="511">
        <f>sum('Balanced Recipe'!H17)*'Balanced Recipe Shopping List'!$J$5</f>
        <v>29.98225051</v>
      </c>
      <c r="I32" s="512" t="str">
        <f>vlookup(A32,'Supplement Master List'!$A$2:$Q$1032,8,false)</f>
        <v>#N/A</v>
      </c>
      <c r="J32" s="425" t="str">
        <f>sum(C32/(vlookup(A32,'Supplement Master List'!$A$2:$Q$1032,16,false)))*H32</f>
        <v>#N/A</v>
      </c>
    </row>
    <row r="33">
      <c r="A33" s="522" t="s">
        <v>384</v>
      </c>
      <c r="B33" s="248"/>
      <c r="C33" s="514" t="str">
        <f>IF($F$29="Amazon",vlookup(A33,'Supplement Master List'!$A$2:$Q$1032,10,false),IF($F$29="iHerb",vlookup(A33,'Supplement Master List'!$A$2:$Q$1032,14,false)," "))</f>
        <v>#N/A</v>
      </c>
      <c r="D33" s="515" t="s">
        <v>208</v>
      </c>
      <c r="E33" s="516" t="str">
        <f>IF($F$29="Amazon",vlookup(A33,'Supplement Master List'!$A$2:$Q$1032,11,false),IF($F$29="iHerb",vlookup(A33,'Supplement Master List'!$A$2:$Q$1032,15,false)," "))</f>
        <v>#N/A</v>
      </c>
      <c r="F33" s="517" t="str">
        <f>if($F$29="Amazon",vlookup(A33,'Supplement Master List'!$A$2:$Q$1032,12,false),if($F$29="iHerb",vlookup(A33,'Supplement Master List'!$A$2:$Q$1032,13,false)))</f>
        <v>#N/A</v>
      </c>
      <c r="G33" s="248"/>
      <c r="H33" s="523" t="str">
        <f>sum(#REF!)*'Balanced Recipe Shopping List'!$J$5</f>
        <v>#REF!</v>
      </c>
      <c r="I33" s="524" t="str">
        <f>vlookup(A33,'Supplement Master List'!$A$2:$Q$1032,8,false)</f>
        <v>#N/A</v>
      </c>
      <c r="J33" s="525" t="str">
        <f>sum(C33/(vlookup(A33,'Supplement Master List'!$A$2:$Q$1032,16,false)))*H33</f>
        <v>#N/A</v>
      </c>
    </row>
    <row r="34">
      <c r="A34" s="526" t="s">
        <v>171</v>
      </c>
      <c r="B34" s="257"/>
      <c r="C34" s="527" t="str">
        <f>IF($F$29="Amazon",vlookup(A34,'Supplement Master List'!$A$2:$Q$1032,10,false),IF($F$29="iHerb",vlookup(A34,'Supplement Master List'!$A$2:$Q$1032,14,false)," "))</f>
        <v>#N/A</v>
      </c>
      <c r="D34" s="528" t="s">
        <v>208</v>
      </c>
      <c r="E34" s="529" t="str">
        <f>IF($F$29="Amazon",vlookup(A34,'Supplement Master List'!$A$2:$Q$1032,11,false),IF($F$29="iHerb",vlookup(A34,'Supplement Master List'!$A$2:$Q$1032,15,false)," "))</f>
        <v>#N/A</v>
      </c>
      <c r="F34" s="530" t="str">
        <f>if($F$29="Amazon",vlookup(A34,'Supplement Master List'!$A$2:$Q$1032,12,false),if($F$29="iHerb",vlookup(A34,'Supplement Master List'!$A$2:$Q$1032,13,false)))</f>
        <v>#N/A</v>
      </c>
      <c r="G34" s="257"/>
      <c r="H34" s="511">
        <f>sum('Balanced Recipe'!H23)*'Balanced Recipe Shopping List'!$J$5</f>
        <v>14.99112525</v>
      </c>
      <c r="I34" s="531" t="str">
        <f>vlookup(A34,'Supplement Master List'!$A$2:$Q$1032,8,false)</f>
        <v>#N/A</v>
      </c>
      <c r="J34" s="532" t="str">
        <f>sum(C34/(vlookup(A34,'Supplement Master List'!$A$2:$Q$1032,16,false)))*H34</f>
        <v>#N/A</v>
      </c>
    </row>
    <row r="35">
      <c r="A35" s="533" t="s">
        <v>20</v>
      </c>
      <c r="B35" s="427"/>
      <c r="C35" s="534">
        <f>IF($F$29="Amazon",vlookup(A35,'Supplement Master List'!$A$2:$Q$1032,10,false),IF($F$29="iHerb",vlookup(A35,'Supplement Master List'!$A$2:$Q$1032,14,false)," "))</f>
        <v>19.95</v>
      </c>
      <c r="D35" s="535" t="s">
        <v>208</v>
      </c>
      <c r="E35" s="536" t="str">
        <f>IF($F$29="Amazon",vlookup(A35,'Supplement Master List'!$A$2:$Q$1032,11,false),IF($F$29="iHerb",vlookup(A35,'Supplement Master List'!$A$2:$Q$1032,15,false)," "))</f>
        <v>BOTTLE</v>
      </c>
      <c r="F35" s="537" t="str">
        <f>if($F$29="Amazon",vlookup(A35,'Supplement Master List'!$A$2:$Q$1032,12,false),if($F$29="iHerb",vlookup(A35,'Supplement Master List'!$A$2:$Q$1032,13,false)))</f>
        <v>URL</v>
      </c>
      <c r="G35" s="427"/>
      <c r="H35" s="523">
        <f>sum('Balanced Recipe'!J25)*'Balanced Recipe Shopping List'!$J$5</f>
        <v>14.66666667</v>
      </c>
      <c r="I35" s="538" t="str">
        <f>vlookup(A35,'Supplement Master List'!$A$2:$Q$1032,8,false)</f>
        <v>DROP</v>
      </c>
      <c r="J35" s="433">
        <f>sum(C35/(vlookup(A35,'Supplement Master List'!$A$2:$Q$1032,16,false)))*H35</f>
        <v>0.6502222222</v>
      </c>
    </row>
    <row r="36">
      <c r="A36" s="539" t="s">
        <v>51</v>
      </c>
      <c r="B36" s="257"/>
      <c r="C36" s="527">
        <f>IF($F$29="Amazon",vlookup(A36,'Supplement Master List'!$A$2:$Q$1032,10,false),IF($F$29="iHerb",vlookup(A36,'Supplement Master List'!$A$2:$Q$1032,14,false)," "))</f>
        <v>9.99</v>
      </c>
      <c r="D36" s="528" t="s">
        <v>208</v>
      </c>
      <c r="E36" s="529" t="str">
        <f>IF($F$29="Amazon",vlookup(A36,'Supplement Master List'!$A$2:$Q$1032,11,false),IF($F$29="iHerb",vlookup(A36,'Supplement Master List'!$A$2:$Q$1032,15,false)," "))</f>
        <v>BOTTLE</v>
      </c>
      <c r="F36" s="530" t="str">
        <f>if($F$29="Amazon",vlookup(A36,'Supplement Master List'!$A$2:$Q$1032,12,false),if($F$29="iHerb",vlookup(A36,'Supplement Master List'!$A$2:$Q$1032,13,false)))</f>
        <v>URL</v>
      </c>
      <c r="G36" s="257"/>
      <c r="H36" s="511">
        <f>sum('Balanced Recipe'!J19)*'Balanced Recipe Shopping List'!$J$5</f>
        <v>29.98225051</v>
      </c>
      <c r="I36" s="531" t="str">
        <f>vlookup(A36,'Supplement Master List'!$A$2:$Q$1032,8,false)</f>
        <v>DROP</v>
      </c>
      <c r="J36" s="532">
        <f>sum(C36/(vlookup(A36,'Supplement Master List'!$A$2:$Q$1032,16,false)))*H36</f>
        <v>0.2496022355</v>
      </c>
    </row>
    <row r="37">
      <c r="A37" s="513" t="s">
        <v>46</v>
      </c>
      <c r="B37" s="248"/>
      <c r="C37" s="514">
        <f>IF($F$29="Amazon",vlookup(A37,'Supplement Master List'!$A$2:$Q$1032,10,false),IF($F$29="iHerb",vlookup(A37,'Supplement Master List'!$A$2:$Q$1032,14,false)," "))</f>
        <v>14.21</v>
      </c>
      <c r="D37" s="515" t="s">
        <v>208</v>
      </c>
      <c r="E37" s="516" t="str">
        <f>IF($F$29="Amazon",vlookup(A37,'Supplement Master List'!$A$2:$Q$1032,11,false),IF($F$29="iHerb",vlookup(A37,'Supplement Master List'!$A$2:$Q$1032,15,false)," "))</f>
        <v>BOTTLE</v>
      </c>
      <c r="F37" s="517" t="str">
        <f>if($F$29="Amazon",vlookup(A37,'Supplement Master List'!$A$2:$Q$1032,12,false),if($F$29="iHerb",vlookup(A37,'Supplement Master List'!$A$2:$Q$1032,13,false)))</f>
        <v>URL</v>
      </c>
      <c r="G37" s="248"/>
      <c r="H37" s="523">
        <f>sum('Balanced Recipe'!J20)*'Balanced Recipe Shopping List'!$J$5</f>
        <v>7.495562627</v>
      </c>
      <c r="I37" s="524" t="str">
        <f>vlookup(A37,'Supplement Master List'!$A$2:$Q$1032,8,false)</f>
        <v>DROP</v>
      </c>
      <c r="J37" s="525">
        <f>sum(C37/(vlookup(A37,'Supplement Master List'!$A$2:$Q$1032,16,false)))*H37</f>
        <v>0.08875995411</v>
      </c>
    </row>
    <row r="38">
      <c r="A38" s="539" t="s">
        <v>57</v>
      </c>
      <c r="B38" s="257"/>
      <c r="C38" s="527">
        <f>IF($F$29="Amazon",vlookup(A38,'Supplement Master List'!$A$2:$Q$1032,10,false),IF($F$29="iHerb",vlookup(A38,'Supplement Master List'!$A$2:$Q$1032,14,false)," "))</f>
        <v>11.12</v>
      </c>
      <c r="D38" s="528" t="s">
        <v>208</v>
      </c>
      <c r="E38" s="529" t="str">
        <f>IF($F$29="Amazon",vlookup(A38,'Supplement Master List'!$A$2:$Q$1032,11,false),IF($F$29="iHerb",vlookup(A38,'Supplement Master List'!$A$2:$Q$1032,15,false)," "))</f>
        <v>BOTTLE</v>
      </c>
      <c r="F38" s="530" t="str">
        <f>if($F$29="Amazon",vlookup(A38,'Supplement Master List'!$A$2:$Q$1032,12,false),if($F$29="iHerb",vlookup(A38,'Supplement Master List'!$A$2:$Q$1032,13,false)))</f>
        <v>URL</v>
      </c>
      <c r="G38" s="257"/>
      <c r="H38" s="511">
        <f>sum('Balanced Recipe'!J21)*'Balanced Recipe Shopping List'!$J$5</f>
        <v>29.98225051</v>
      </c>
      <c r="I38" s="531" t="str">
        <f>vlookup(A38,'Supplement Master List'!$A$2:$Q$1032,8,false)</f>
        <v>DROP</v>
      </c>
      <c r="J38" s="532">
        <f>sum(C38/(vlookup(A38,'Supplement Master List'!$A$2:$Q$1032,16,false)))*H38</f>
        <v>0.3019951319</v>
      </c>
    </row>
    <row r="39">
      <c r="A39" s="540"/>
      <c r="B39" s="540"/>
      <c r="C39" s="541"/>
      <c r="D39" s="540"/>
      <c r="E39" s="540"/>
      <c r="G39" s="542"/>
      <c r="H39" s="543" t="str">
        <f>sum(J30:J38)</f>
        <v>#N/A</v>
      </c>
      <c r="I39" s="413"/>
      <c r="J39" s="414"/>
    </row>
    <row r="40" ht="15.75" customHeight="1">
      <c r="A40" s="540"/>
      <c r="B40" s="540"/>
      <c r="C40" s="541"/>
      <c r="D40" s="540"/>
      <c r="E40" s="540"/>
      <c r="G40" s="544"/>
      <c r="H40" s="544"/>
      <c r="I40" s="544"/>
      <c r="J40" s="544"/>
    </row>
    <row r="41">
      <c r="A41" s="203"/>
      <c r="B41" s="203"/>
      <c r="C41" s="410"/>
      <c r="D41" s="203"/>
      <c r="E41" s="203"/>
      <c r="G41" s="411"/>
      <c r="H41" s="412" t="s">
        <v>385</v>
      </c>
      <c r="I41" s="413"/>
      <c r="J41" s="414"/>
    </row>
    <row r="42">
      <c r="A42" s="415" t="s">
        <v>386</v>
      </c>
      <c r="B42" s="234"/>
      <c r="C42" s="416" t="s">
        <v>207</v>
      </c>
      <c r="D42" s="230" t="s">
        <v>208</v>
      </c>
      <c r="E42" s="417" t="s">
        <v>382</v>
      </c>
      <c r="F42" s="231" t="str">
        <f>F29</f>
        <v>Amazon</v>
      </c>
      <c r="G42" s="232"/>
      <c r="H42" s="418" t="str">
        <f>H29</f>
        <v>#REF!</v>
      </c>
      <c r="I42" s="232"/>
      <c r="J42" s="234"/>
    </row>
    <row r="43">
      <c r="A43" s="506" t="s">
        <v>387</v>
      </c>
      <c r="B43" s="239"/>
      <c r="C43" s="507" t="str">
        <f>IF($F$29="Amazon",vlookup(A43,'Supplement Master List'!$A$2:$Q$1032,10,false),IF($F$29="iHerb",vlookup(A43,'Supplement Master List'!$A$2:$Q$1032,14,false)," "))</f>
        <v>#N/A</v>
      </c>
      <c r="D43" s="508" t="s">
        <v>208</v>
      </c>
      <c r="E43" s="509" t="str">
        <f>IF($F$29="Amazon",vlookup(A43,'Supplement Master List'!$A$2:$Q$1032,11,false),IF($F$29="iHerb",vlookup(A43,'Supplement Master List'!$A$2:$Q$1032,15,false)," "))</f>
        <v>#N/A</v>
      </c>
      <c r="F43" s="510" t="str">
        <f>if($F$29="Amazon",vlookup(A43,'Supplement Master List'!$A$2:$Q$1032,12,false),if($F$29="iHerb",vlookup(A43,'Supplement Master List'!$A$2:$Q$1032,13,false)))</f>
        <v>#N/A</v>
      </c>
      <c r="G43" s="239"/>
      <c r="H43" s="511">
        <f>sum('Balanced Recipe'!H25)*'Balanced Recipe Shopping List'!$J$5</f>
        <v>14.66666667</v>
      </c>
      <c r="I43" s="512" t="str">
        <f>vlookup(A43,'Supplement Master List'!$A$2:$Q$1032,8,false)</f>
        <v>#N/A</v>
      </c>
      <c r="J43" s="425" t="str">
        <f>sum(C43/(vlookup(A43,'Supplement Master List'!$A$2:$Q$1032,16,false)))*H43</f>
        <v>#N/A</v>
      </c>
    </row>
    <row r="44">
      <c r="A44" s="522" t="s">
        <v>184</v>
      </c>
      <c r="B44" s="248"/>
      <c r="C44" s="514" t="str">
        <f>IF($F$29="Amazon",vlookup(A44,'Supplement Master List'!$A$2:$Q$1032,10,false),IF($F$29="iHerb",vlookup(A44,'Supplement Master List'!$A$2:$Q$1032,14,false)," "))</f>
        <v>#N/A</v>
      </c>
      <c r="D44" s="515" t="s">
        <v>208</v>
      </c>
      <c r="E44" s="516" t="str">
        <f>IF($F$29="Amazon",vlookup(A44,'Supplement Master List'!$A$2:$Q$1032,11,false),IF($F$29="iHerb",vlookup(A44,'Supplement Master List'!$A$2:$Q$1032,15,false)," "))</f>
        <v>#N/A</v>
      </c>
      <c r="F44" s="517" t="str">
        <f>if($F$29="Amazon",vlookup(A44,'Supplement Master List'!$A$2:$Q$1032,12,false),if($F$29="iHerb",vlookup(A44,'Supplement Master List'!$A$2:$Q$1032,13,false)))</f>
        <v>#N/A</v>
      </c>
      <c r="G44" s="248"/>
      <c r="H44" s="523" t="str">
        <f>sum(#REF!)*'Balanced Recipe Shopping List'!$J$5</f>
        <v>#REF!</v>
      </c>
      <c r="I44" s="524" t="str">
        <f>vlookup(A44,'Supplement Master List'!$A$2:$Q$1032,8,false)</f>
        <v>#N/A</v>
      </c>
      <c r="J44" s="525" t="str">
        <f>sum(C44/(vlookup(A44,'Supplement Master List'!$A$2:$Q$1032,16,false)))*H44</f>
        <v>#N/A</v>
      </c>
    </row>
    <row r="45">
      <c r="A45" s="526" t="s">
        <v>388</v>
      </c>
      <c r="B45" s="257"/>
      <c r="C45" s="527" t="str">
        <f>IF($F$29="Amazon",vlookup(A45,'Supplement Master List'!$A$2:$Q$1032,10,false),IF($F$29="iHerb",vlookup(A45,'Supplement Master List'!$A$2:$Q$1032,14,false)," "))</f>
        <v>#N/A</v>
      </c>
      <c r="D45" s="528" t="s">
        <v>208</v>
      </c>
      <c r="E45" s="529" t="str">
        <f>IF($F$29="Amazon",vlookup(A45,'Supplement Master List'!$A$2:$Q$1032,11,false),IF($F$29="iHerb",vlookup(A45,'Supplement Master List'!$A$2:$Q$1032,15,false)," "))</f>
        <v>#N/A</v>
      </c>
      <c r="F45" s="530" t="str">
        <f>if($F$29="Amazon",vlookup(A45,'Supplement Master List'!$A$2:$Q$1032,12,false),if($F$29="iHerb",vlookup(A45,'Supplement Master List'!$A$2:$Q$1032,13,false)))</f>
        <v>#N/A</v>
      </c>
      <c r="G45" s="257"/>
      <c r="H45" s="511" t="str">
        <f>sum(#REF!)*'Balanced Recipe Shopping List'!$J$5</f>
        <v>#REF!</v>
      </c>
      <c r="I45" s="531" t="str">
        <f>vlookup(A45,'Supplement Master List'!$A$2:$Q$1032,8,false)</f>
        <v>#N/A</v>
      </c>
      <c r="J45" s="532" t="str">
        <f>sum(C45/(vlookup(A45,'Supplement Master List'!$A$2:$Q$1032,16,false)))*H45</f>
        <v>#N/A</v>
      </c>
    </row>
    <row r="46">
      <c r="A46" s="513" t="s">
        <v>389</v>
      </c>
      <c r="B46" s="248"/>
      <c r="C46" s="514" t="str">
        <f>IF($F$29="Amazon",vlookup(A46,'Supplement Master List'!$A$2:$Q$1032,10,false),IF($F$29="iHerb",vlookup(A46,'Supplement Master List'!$A$2:$Q$1032,14,false)," "))</f>
        <v>#N/A</v>
      </c>
      <c r="D46" s="515" t="s">
        <v>208</v>
      </c>
      <c r="E46" s="516" t="str">
        <f>IF($F$29="Amazon",vlookup(A46,'Supplement Master List'!$A$2:$Q$1032,11,false),IF($F$29="iHerb",vlookup(A46,'Supplement Master List'!$A$2:$Q$1032,15,false)," "))</f>
        <v>#N/A</v>
      </c>
      <c r="F46" s="517" t="str">
        <f>if($F$29="Amazon",vlookup(A46,'Supplement Master List'!$A$2:$Q$1032,12,false),if($F$29="iHerb",vlookup(A46,'Supplement Master List'!$A$2:$Q$1032,13,false)))</f>
        <v>#N/A</v>
      </c>
      <c r="G46" s="248"/>
      <c r="H46" s="523">
        <f>sum('Balanced Recipe'!H19)*'Balanced Recipe Shopping List'!$J$5</f>
        <v>29.98225051</v>
      </c>
      <c r="I46" s="524" t="str">
        <f>vlookup(A46,'Supplement Master List'!$A$2:$Q$1032,8,false)</f>
        <v>#N/A</v>
      </c>
      <c r="J46" s="525" t="str">
        <f>sum(C46/(vlookup(A46,'Supplement Master List'!$A$2:$Q$1032,16,false)))*H46</f>
        <v>#N/A</v>
      </c>
    </row>
    <row r="47">
      <c r="A47" s="539" t="s">
        <v>390</v>
      </c>
      <c r="B47" s="257"/>
      <c r="C47" s="527" t="str">
        <f>IF($F$29="Amazon",vlookup(A47,'Supplement Master List'!$A$2:$Q$1032,10,false),IF($F$29="iHerb",vlookup(A47,'Supplement Master List'!$A$2:$Q$1032,14,false)," "))</f>
        <v>#N/A</v>
      </c>
      <c r="D47" s="528" t="s">
        <v>208</v>
      </c>
      <c r="E47" s="529" t="str">
        <f>IF($F$29="Amazon",vlookup(A47,'Supplement Master List'!$A$2:$Q$1032,11,false),IF($F$29="iHerb",vlookup(A47,'Supplement Master List'!$A$2:$Q$1032,15,false)," "))</f>
        <v>#N/A</v>
      </c>
      <c r="F47" s="530" t="str">
        <f>if($F$29="Amazon",vlookup(A47,'Supplement Master List'!$A$2:$Q$1032,12,false),if($F$29="iHerb",vlookup(A47,'Supplement Master List'!$A$2:$Q$1032,13,false)))</f>
        <v>#N/A</v>
      </c>
      <c r="G47" s="257"/>
      <c r="H47" s="511">
        <f>sum('Balanced Recipe'!H20)*'Balanced Recipe Shopping List'!$J$5</f>
        <v>7.495562627</v>
      </c>
      <c r="I47" s="531" t="str">
        <f>vlookup(A47,'Supplement Master List'!$A$2:$Q$1032,8,false)</f>
        <v>#N/A</v>
      </c>
      <c r="J47" s="532" t="str">
        <f>sum(C47/(vlookup(A47,'Supplement Master List'!$A$2:$Q$1032,16,false)))*H47</f>
        <v>#N/A</v>
      </c>
    </row>
    <row r="48">
      <c r="A48" s="513" t="s">
        <v>391</v>
      </c>
      <c r="B48" s="248"/>
      <c r="C48" s="514" t="str">
        <f>IF($F$29="Amazon",vlookup(A48,'Supplement Master List'!$A$2:$Q$1032,10,false),IF($F$29="iHerb",vlookup(A48,'Supplement Master List'!$A$2:$Q$1032,14,false)," "))</f>
        <v>#N/A</v>
      </c>
      <c r="D48" s="515" t="s">
        <v>208</v>
      </c>
      <c r="E48" s="516" t="str">
        <f>IF($F$29="Amazon",vlookup(A48,'Supplement Master List'!$A$2:$Q$1032,11,false),IF($F$29="iHerb",vlookup(A48,'Supplement Master List'!$A$2:$Q$1032,15,false)," "))</f>
        <v>#N/A</v>
      </c>
      <c r="F48" s="517" t="str">
        <f>if($F$29="Amazon",vlookup(A48,'Supplement Master List'!$A$2:$Q$1032,12,false),if($F$29="iHerb",vlookup(A48,'Supplement Master List'!$A$2:$Q$1032,13,false)))</f>
        <v>#N/A</v>
      </c>
      <c r="G48" s="248"/>
      <c r="H48" s="523">
        <f>sum('Balanced Recipe'!H21)*'Balanced Recipe Shopping List'!$J$5</f>
        <v>29.98225051</v>
      </c>
      <c r="I48" s="524" t="str">
        <f>vlookup(A48,'Supplement Master List'!$A$2:$Q$1032,8,false)</f>
        <v>#N/A</v>
      </c>
      <c r="J48" s="525" t="str">
        <f>sum(C48/(vlookup(A48,'Supplement Master List'!$A$2:$Q$1032,16,false)))*H48</f>
        <v>#N/A</v>
      </c>
    </row>
    <row r="49">
      <c r="A49" s="526" t="s">
        <v>187</v>
      </c>
      <c r="B49" s="257"/>
      <c r="C49" s="527" t="str">
        <f>IF($F$29="Amazon",vlookup(A49,'Supplement Master List'!$A$2:$Q$1032,10,false),IF($F$29="iHerb",vlookup(A49,'Supplement Master List'!$A$2:$Q$1032,14,false)," "))</f>
        <v>#N/A</v>
      </c>
      <c r="D49" s="528" t="s">
        <v>208</v>
      </c>
      <c r="E49" s="529" t="str">
        <f>IF($F$29="Amazon",vlookup(A49,'Supplement Master List'!$A$2:$Q$1032,11,false),IF($F$29="iHerb",vlookup(A49,'Supplement Master List'!$A$2:$Q$1032,15,false)," "))</f>
        <v>#N/A</v>
      </c>
      <c r="F49" s="530" t="str">
        <f>if($F$29="Amazon",vlookup(A49,'Supplement Master List'!$A$2:$Q$1032,12,false),if($F$29="iHerb",vlookup(A49,'Supplement Master List'!$A$2:$Q$1032,13,false)))</f>
        <v>#N/A</v>
      </c>
      <c r="G49" s="257"/>
      <c r="H49" s="511" t="str">
        <f>sum(#REF!)*'Balanced Recipe Shopping List'!$J$5</f>
        <v>#REF!</v>
      </c>
      <c r="I49" s="531" t="str">
        <f>vlookup(A49,'Supplement Master List'!$A$2:$Q$1032,8,false)</f>
        <v>#N/A</v>
      </c>
      <c r="J49" s="532" t="str">
        <f>sum(C49/(vlookup(A49,'Supplement Master List'!$A$2:$Q$1032,16,false)))*H49</f>
        <v>#N/A</v>
      </c>
    </row>
    <row r="50">
      <c r="A50" s="522" t="s">
        <v>183</v>
      </c>
      <c r="B50" s="248"/>
      <c r="C50" s="514" t="str">
        <f>IF($F$29="Amazon",vlookup(A50,'Supplement Master List'!$A$2:$Q$1032,10,false),IF($F$29="iHerb",vlookup(A50,'Supplement Master List'!$A$2:$Q$1032,14,false)," "))</f>
        <v>#N/A</v>
      </c>
      <c r="D50" s="515" t="s">
        <v>208</v>
      </c>
      <c r="E50" s="516" t="str">
        <f>IF($F$29="Amazon",vlookup(A50,'Supplement Master List'!$A$2:$Q$1032,11,false),IF($F$29="iHerb",vlookup(A50,'Supplement Master List'!$A$2:$Q$1032,15,false)," "))</f>
        <v>#N/A</v>
      </c>
      <c r="F50" s="517" t="str">
        <f>if($F$29="Amazon",vlookup(A50,'Supplement Master List'!$A$2:$Q$1032,12,false),if($F$29="iHerb",vlookup(A50,'Supplement Master List'!$A$2:$Q$1032,13,false)))</f>
        <v>#N/A</v>
      </c>
      <c r="G50" s="248"/>
      <c r="H50" s="523" t="str">
        <f>sum(#REF!)*'Balanced Recipe Shopping List'!$J$5</f>
        <v>#REF!</v>
      </c>
      <c r="I50" s="524" t="str">
        <f>vlookup(A50,'Supplement Master List'!$A$2:$Q$1032,8,false)</f>
        <v>#N/A</v>
      </c>
      <c r="J50" s="525" t="str">
        <f>sum(C50/(vlookup(A50,'Supplement Master List'!$A$2:$Q$1032,16,false)))*H50</f>
        <v>#N/A</v>
      </c>
    </row>
    <row r="51">
      <c r="A51" s="526" t="s">
        <v>192</v>
      </c>
      <c r="B51" s="257"/>
      <c r="C51" s="527" t="str">
        <f>IF($F$29="Amazon",vlookup(A51,'Supplement Master List'!$A$2:$Q$1032,10,false),IF($F$29="iHerb",vlookup(A51,'Supplement Master List'!$A$2:$Q$1032,14,false)," "))</f>
        <v>#N/A</v>
      </c>
      <c r="D51" s="528" t="s">
        <v>208</v>
      </c>
      <c r="E51" s="529" t="str">
        <f>IF($F$29="Amazon",vlookup(A51,'Supplement Master List'!$A$2:$Q$1032,11,false),IF($F$29="iHerb",vlookup(A51,'Supplement Master List'!$A$2:$Q$1032,15,false)," "))</f>
        <v>#N/A</v>
      </c>
      <c r="F51" s="530" t="str">
        <f>if($F$29="Amazon",vlookup(A51,'Supplement Master List'!$A$2:$Q$1032,12,false),if($F$29="iHerb",vlookup(A51,'Supplement Master List'!$A$2:$Q$1032,13,false)))</f>
        <v>#N/A</v>
      </c>
      <c r="G51" s="257"/>
      <c r="H51" s="545">
        <f>sum('Balanced Recipe'!H22)*'Balanced Recipe Shopping List'!$J$5</f>
        <v>29.98225051</v>
      </c>
      <c r="I51" s="546" t="str">
        <f>vlookup(A51,'Supplement Master List'!$A$2:$Q$1032,8,false)</f>
        <v>#N/A</v>
      </c>
      <c r="J51" s="547" t="str">
        <f>sum(C51/(vlookup(A51,'Supplement Master List'!$A$2:$Q$1032,16,false)))*H51</f>
        <v>#N/A</v>
      </c>
    </row>
    <row r="52">
      <c r="A52" s="548" t="s">
        <v>162</v>
      </c>
      <c r="B52" s="427"/>
      <c r="C52" s="514" t="str">
        <f>IF($F$29="Amazon",vlookup(A52,'Supplement Master List'!$A$2:$Q$1032,10,false),IF($F$29="iHerb",vlookup(A52,'Supplement Master List'!$A$2:$Q$1032,14,false)," "))</f>
        <v>#N/A</v>
      </c>
      <c r="D52" s="515" t="s">
        <v>208</v>
      </c>
      <c r="E52" s="516" t="str">
        <f>IF($F$29="Amazon",vlookup(A52,'Supplement Master List'!$A$2:$Q$1032,11,false),IF($F$29="iHerb",vlookup(A52,'Supplement Master List'!$A$2:$Q$1032,15,false)," "))</f>
        <v>#N/A</v>
      </c>
      <c r="F52" s="517" t="str">
        <f>if($F$29="Amazon",vlookup(A52,'Supplement Master List'!$A$2:$Q$1032,12,false),if($F$29="iHerb",vlookup(A52,'Supplement Master List'!$A$2:$Q$1032,13,false)))</f>
        <v>#N/A</v>
      </c>
      <c r="G52" s="248"/>
      <c r="H52" s="549" t="str">
        <f>sum(#REF!)*'Balanced Recipe Shopping List'!$J$5</f>
        <v>#REF!</v>
      </c>
      <c r="I52" s="519" t="str">
        <f>vlookup(A52,'Supplement Master List'!$A$2:$Q$1032,8,false)</f>
        <v>#N/A</v>
      </c>
      <c r="J52" s="520" t="str">
        <f>sum(C52/(vlookup(A52,'Supplement Master List'!$A$2:$Q$1032,16,false)))*H52</f>
        <v>#N/A</v>
      </c>
    </row>
    <row r="53">
      <c r="A53" s="526" t="s">
        <v>392</v>
      </c>
      <c r="B53" s="257"/>
      <c r="C53" s="527" t="str">
        <f>IF($F$29="Amazon",vlookup(A53,'Supplement Master List'!$A$2:$Q$1032,10,false),IF($F$29="iHerb",vlookup(A53,'Supplement Master List'!$A$2:$Q$1032,14,false)," "))</f>
        <v>#N/A</v>
      </c>
      <c r="D53" s="528" t="s">
        <v>208</v>
      </c>
      <c r="E53" s="529" t="str">
        <f>IF($F$29="Amazon",vlookup(A53,'Supplement Master List'!$A$2:$Q$1032,11,false),IF($F$29="iHerb",vlookup(A53,'Supplement Master List'!$A$2:$Q$1032,15,false)," "))</f>
        <v>#N/A</v>
      </c>
      <c r="F53" s="530" t="str">
        <f>if($F$29="Amazon",vlookup(A53,'Supplement Master List'!$A$2:$Q$1032,12,false),if($F$29="iHerb",vlookup(A53,'Supplement Master List'!$A$2:$Q$1032,13,false)))</f>
        <v>#N/A</v>
      </c>
      <c r="G53" s="257"/>
      <c r="H53" s="550" t="str">
        <f>sum(#REF!)*'Balanced Recipe Shopping List'!$J$5</f>
        <v>#REF!</v>
      </c>
      <c r="I53" s="546" t="str">
        <f>vlookup(A53,'Supplement Master List'!$A$2:$Q$1032,8,false)</f>
        <v>#N/A</v>
      </c>
      <c r="J53" s="547" t="str">
        <f>sum(C53/(vlookup(A53,'Supplement Master List'!$A$2:$Q$1032,16,false)))*H53</f>
        <v>#N/A</v>
      </c>
    </row>
    <row r="54">
      <c r="A54" s="540"/>
      <c r="B54" s="540"/>
      <c r="C54" s="541"/>
      <c r="D54" s="540"/>
      <c r="E54" s="540"/>
      <c r="G54" s="542"/>
      <c r="H54" s="551" t="str">
        <f>sum(J43:J53)</f>
        <v>#N/A</v>
      </c>
      <c r="J54" s="477"/>
    </row>
    <row r="55" ht="15.75" customHeight="1">
      <c r="A55" s="540"/>
      <c r="B55" s="540"/>
      <c r="C55" s="541"/>
      <c r="D55" s="540"/>
      <c r="E55" s="540"/>
      <c r="G55" s="544"/>
      <c r="H55" s="544"/>
      <c r="I55" s="544"/>
      <c r="J55" s="544"/>
    </row>
    <row r="56" ht="15.75" customHeight="1">
      <c r="A56" s="552" t="s">
        <v>393</v>
      </c>
      <c r="B56" s="553"/>
      <c r="C56" s="553"/>
      <c r="D56" s="553"/>
      <c r="E56" s="553"/>
      <c r="F56" s="553"/>
      <c r="G56" s="553"/>
      <c r="H56" s="553"/>
      <c r="I56" s="553"/>
      <c r="J56" s="554"/>
    </row>
    <row r="57" ht="15.75" customHeight="1">
      <c r="A57" s="555" t="str">
        <f>IF('Balanced Recipe Data'!$D$7="dog","Step 1: Prepare Vegetables",IF('Balanced Recipe Data'!$D$7="cat","Step 1: Portion Individual Supplments",""))</f>
        <v>Step 1: Prepare Vegetables</v>
      </c>
      <c r="B57" s="556"/>
      <c r="C57" s="556"/>
      <c r="D57" s="556"/>
      <c r="E57" s="556"/>
      <c r="F57" s="556"/>
      <c r="G57" s="556"/>
      <c r="H57" s="556"/>
      <c r="I57" s="557"/>
      <c r="J57" s="558"/>
    </row>
    <row r="58">
      <c r="A58" s="559" t="str">
        <f>IF('Balanced Recipe Data'!$D$7="dog",CONCATENATE("Prepare the total amount of vegetables needed for ",'Balanced Recipe Shopping List'!$J$5," days of each recipe. Once the vegetables are prepared place each recipe mixture in their own separate mixing bowl."),IF('Balanced Recipe Data'!$D$7="cat",CONCATENATE("Use the supplement list above to portion out the individual supplements needed for ",'Balanced Recipe Shopping List'!$J$5," days of home prepared food. It is important to follow the unit of measurement listed for each supplement. Use a kitchen scale that measures grams to the tenth of a decimal for any supplements listed in grams."),""))</f>
        <v>Prepare the total amount of vegetables needed for 30 days of each recipe. Once the vegetables are prepared place each recipe mixture in their own separate mixing bowl.</v>
      </c>
      <c r="B58" s="177"/>
      <c r="C58" s="177"/>
      <c r="D58" s="177"/>
      <c r="E58" s="177"/>
      <c r="F58" s="177"/>
      <c r="G58" s="177"/>
      <c r="H58" s="177"/>
      <c r="I58" s="177"/>
      <c r="J58" s="560"/>
    </row>
    <row r="59" ht="15.75" customHeight="1">
      <c r="A59" s="561" t="str">
        <f>IF('Balanced Recipe Data'!$D$7="dog","Step 2: Portion Individual Supplments",IF('Balanced Recipe Data'!$D$7="cat","Step 2: Dissolve Supplements In Liquid",""))</f>
        <v>Step 2: Portion Individual Supplments</v>
      </c>
      <c r="B59" s="562"/>
      <c r="C59" s="562"/>
      <c r="D59" s="562"/>
      <c r="E59" s="562"/>
      <c r="F59" s="562"/>
      <c r="G59" s="562"/>
      <c r="H59" s="562"/>
      <c r="I59" s="563"/>
      <c r="J59" s="564"/>
    </row>
    <row r="60">
      <c r="A60" s="565" t="str">
        <f>IF('Balanced Recipe Data'!$D$7="dog",CONCATENATE("Use the charts above to portion out the individual supplements needed for ",'Balanced Recipe Shopping List'!$J$5," days of home prepared food. It is important to follow the unit of measurement listed for each supplement. Use a kitchen scale that measures grams to the tenth of a decimal for any supplements listed in grams."),IF('Balanced Recipe Data'!$D$7="cat","All of the supplements listed are dry and can be dissolved into water, bone broth, or coconut water. Be sure to thoroughly mix. This will be used to mix into the batch prepared food. Open the capsules and empty the dry supplement into the liquid of choice"&amp;". Compressed tablets will need time to dissolve in the liquid but can be crushed using a mortar and pestal or spice grinder.",""))</f>
        <v>Use the charts above to portion out the individual supplements needed for 30 days of home prepared food. It is important to follow the unit of measurement listed for each supplement. Use a kitchen scale that measures grams to the tenth of a decimal for any supplements listed in grams.</v>
      </c>
      <c r="B60" s="177"/>
      <c r="C60" s="177"/>
      <c r="D60" s="177"/>
      <c r="E60" s="177"/>
      <c r="F60" s="177"/>
      <c r="G60" s="177"/>
      <c r="H60" s="177"/>
      <c r="I60" s="177"/>
      <c r="J60" s="560"/>
    </row>
    <row r="61" ht="15.75" customHeight="1">
      <c r="A61" s="555" t="str">
        <f>IF('Balanced Recipe Data'!$D$7="dog","Step 3: Dissolve Supplements In Liquid",IF('Balanced Recipe Data'!$D$7="cat","Step 3: Mix Supplement Liquid Into Batch Prepared Food",""))</f>
        <v>Step 3: Dissolve Supplements In Liquid</v>
      </c>
      <c r="B61" s="556"/>
      <c r="C61" s="556"/>
      <c r="D61" s="556"/>
      <c r="E61" s="556"/>
      <c r="F61" s="556"/>
      <c r="G61" s="556"/>
      <c r="H61" s="556"/>
      <c r="I61" s="557"/>
      <c r="J61" s="558"/>
    </row>
    <row r="62">
      <c r="A62" s="559" t="str">
        <f>IF('Balanced Recipe Data'!$D$7="dog","All of the supplements listed are dry and can be dissolved into water, bone broth, or coconut water. Be sure to thoroughly mix. This will be used to mix into the vegetables. Open the capsules and empty the dry supplement into the liquid of choice. Compres"&amp;"sed tablets will need time to dissolve in the liquid but can be crushed using a mortar and pestal or spice grinder.",IF('Balanced Recipe Data'!$D$7="cat","First, thoroughly mix the dissolved supplements into the ground organs or eggs; and then thoroughly mix the organ/egg supplement slurry into the ground meat. Once the supplements are mixed into the food it can be portioned into individual feedings. The re"&amp;"maining liquid supplements listed in the recipe will need to be added to food at mealtime on a daily basis.",""))</f>
        <v>All of the supplements listed are dry and can be dissolved into water, bone broth, or coconut water. Be sure to thoroughly mix. This will be used to mix into the vegetables. Open the capsules and empty the dry supplement into the liquid of choice. Compressed tablets will need time to dissolve in the liquid but can be crushed using a mortar and pestal or spice grinder.</v>
      </c>
      <c r="B62" s="177"/>
      <c r="C62" s="177"/>
      <c r="D62" s="177"/>
      <c r="E62" s="177"/>
      <c r="F62" s="177"/>
      <c r="G62" s="177"/>
      <c r="H62" s="177"/>
      <c r="I62" s="177"/>
      <c r="J62" s="560"/>
    </row>
    <row r="63" ht="15.75" customHeight="1">
      <c r="A63" s="561" t="str">
        <f>IF('Balanced Recipe Data'!$D$7="dog","Step 4: Mix Supplement Liquid Into Vegetables",IF('Balanced Recipe Data'!$D$7="cat","",""))</f>
        <v>Step 4: Mix Supplement Liquid Into Vegetables</v>
      </c>
      <c r="B63" s="562"/>
      <c r="C63" s="562"/>
      <c r="D63" s="562"/>
      <c r="E63" s="562"/>
      <c r="F63" s="562"/>
      <c r="G63" s="562"/>
      <c r="H63" s="562"/>
      <c r="I63" s="563"/>
      <c r="J63" s="564"/>
    </row>
    <row r="64">
      <c r="A64" s="566" t="str">
        <f>IF('Balanced Recipe Data'!$D$7="dog","Thoroughly mix the dissolved supplements into the prepared vegetables. Once the supplements are mixed into the vegetables, the complete mixture can be portioned into individual meals or mixed together with the meat ingredients of the recipe. The remaining"&amp;" liquid supplements listed in the recipe will need to be added to food at mealtime on a daily basis.",IF('Balanced Recipe Data'!$D$7="cat","",""))</f>
        <v>Thoroughly mix the dissolved supplements into the prepared vegetables. Once the supplements are mixed into the vegetables, the complete mixture can be portioned into individual meals or mixed together with the meat ingredients of the recipe. The remaining liquid supplements listed in the recipe will need to be added to food at mealtime on a daily basis.</v>
      </c>
      <c r="B64" s="232"/>
      <c r="C64" s="232"/>
      <c r="D64" s="232"/>
      <c r="E64" s="232"/>
      <c r="F64" s="232"/>
      <c r="G64" s="232"/>
      <c r="H64" s="232"/>
      <c r="I64" s="232"/>
      <c r="J64" s="234"/>
    </row>
  </sheetData>
  <mergeCells count="74">
    <mergeCell ref="A33:B33"/>
    <mergeCell ref="A34:B34"/>
    <mergeCell ref="A35:B35"/>
    <mergeCell ref="A36:B36"/>
    <mergeCell ref="A37:B37"/>
    <mergeCell ref="A38:B38"/>
    <mergeCell ref="A42:B42"/>
    <mergeCell ref="A50:B50"/>
    <mergeCell ref="A51:B51"/>
    <mergeCell ref="A52:B52"/>
    <mergeCell ref="A53:B53"/>
    <mergeCell ref="A43:B43"/>
    <mergeCell ref="A44:B44"/>
    <mergeCell ref="A45:B45"/>
    <mergeCell ref="A46:B46"/>
    <mergeCell ref="A47:B47"/>
    <mergeCell ref="A48:B48"/>
    <mergeCell ref="A49:B49"/>
    <mergeCell ref="F42:G42"/>
    <mergeCell ref="H42:J42"/>
    <mergeCell ref="F43:G43"/>
    <mergeCell ref="F44:G44"/>
    <mergeCell ref="F45:G45"/>
    <mergeCell ref="F46:G46"/>
    <mergeCell ref="F47:G47"/>
    <mergeCell ref="F48:G48"/>
    <mergeCell ref="F49:G49"/>
    <mergeCell ref="F50:G50"/>
    <mergeCell ref="F51:G51"/>
    <mergeCell ref="F52:G52"/>
    <mergeCell ref="F53:G53"/>
    <mergeCell ref="H54:J54"/>
    <mergeCell ref="A1:J1"/>
    <mergeCell ref="H4:J4"/>
    <mergeCell ref="F11:J11"/>
    <mergeCell ref="F12:J12"/>
    <mergeCell ref="A13:B13"/>
    <mergeCell ref="F13:G13"/>
    <mergeCell ref="H13:J13"/>
    <mergeCell ref="A14:B14"/>
    <mergeCell ref="A15:B15"/>
    <mergeCell ref="A16:B16"/>
    <mergeCell ref="A17:B17"/>
    <mergeCell ref="A18:B18"/>
    <mergeCell ref="A19:B19"/>
    <mergeCell ref="A20:B20"/>
    <mergeCell ref="F29:G29"/>
    <mergeCell ref="H29:J29"/>
    <mergeCell ref="A21:B21"/>
    <mergeCell ref="A22:B22"/>
    <mergeCell ref="A23:B23"/>
    <mergeCell ref="A24:B24"/>
    <mergeCell ref="A25:B25"/>
    <mergeCell ref="H28:J28"/>
    <mergeCell ref="A29:B29"/>
    <mergeCell ref="A30:B30"/>
    <mergeCell ref="F30:G30"/>
    <mergeCell ref="A31:B31"/>
    <mergeCell ref="F31:G31"/>
    <mergeCell ref="A32:B32"/>
    <mergeCell ref="F32:G32"/>
    <mergeCell ref="F33:G33"/>
    <mergeCell ref="F34:G34"/>
    <mergeCell ref="F35:G35"/>
    <mergeCell ref="F36:G36"/>
    <mergeCell ref="F37:G37"/>
    <mergeCell ref="F38:G38"/>
    <mergeCell ref="H39:J39"/>
    <mergeCell ref="H41:J41"/>
    <mergeCell ref="A56:J56"/>
    <mergeCell ref="A58:J58"/>
    <mergeCell ref="A60:J60"/>
    <mergeCell ref="A62:J62"/>
    <mergeCell ref="A64:J64"/>
  </mergeCells>
  <dataValidations>
    <dataValidation type="list" allowBlank="1" sqref="A35 A43">
      <formula1>'Supplement Master List'!$A$2:$A$7</formula1>
    </dataValidation>
    <dataValidation type="list" allowBlank="1" sqref="A44">
      <formula1>'Supplement Master List'!$A$52:$A$58</formula1>
    </dataValidation>
    <dataValidation type="list" allowBlank="1" sqref="A14:A25">
      <formula1>'Balanced Recipe Data'!$G$98:$Q$111</formula1>
    </dataValidation>
    <dataValidation type="list" allowBlank="1" sqref="A50">
      <formula1>'Supplement Master List'!$A$47:$A$51</formula1>
    </dataValidation>
    <dataValidation type="list" allowBlank="1" sqref="A52">
      <formula1>'Supplement Master List'!$A$67:$A$68</formula1>
    </dataValidation>
    <dataValidation type="list" allowBlank="1" sqref="A34">
      <formula1>'Supplement Master List'!$A$29:$A$32</formula1>
    </dataValidation>
    <dataValidation type="list" allowBlank="1" sqref="A38 A48">
      <formula1>'Supplement Master List'!$A$33:$A$36</formula1>
    </dataValidation>
    <dataValidation type="list" allowBlank="1" sqref="A37 A47">
      <formula1>'Supplement Master List'!$A$21:$A$23</formula1>
    </dataValidation>
    <dataValidation type="list" allowBlank="1" sqref="A45">
      <formula1>'Supplement Master List'!$A$59:$A$62</formula1>
    </dataValidation>
    <dataValidation type="list" allowBlank="1" sqref="A53">
      <formula1>'Supplement Master List'!$A$69:$A$72</formula1>
    </dataValidation>
    <dataValidation type="list" allowBlank="1" sqref="A49">
      <formula1>'Supplement Master List'!$A$37:$A$39</formula1>
    </dataValidation>
    <dataValidation type="list" allowBlank="1" sqref="A32">
      <formula1>'Supplement Master List'!$A$44:$A$46</formula1>
    </dataValidation>
    <dataValidation type="list" allowBlank="1" sqref="A30">
      <formula1>'Supplement Master List'!$A$16:$A$20</formula1>
    </dataValidation>
    <dataValidation type="list" allowBlank="1" sqref="A33">
      <formula1>'Supplement Master List'!$A$63:$A$66</formula1>
    </dataValidation>
    <dataValidation type="list" allowBlank="1" sqref="A51">
      <formula1>'Supplement Master List'!$A$42:$A$43</formula1>
    </dataValidation>
    <dataValidation type="list" allowBlank="1" sqref="A31">
      <formula1>'Supplement Master List'!$A$8:$A$14</formula1>
    </dataValidation>
    <dataValidation type="list" allowBlank="1" sqref="A36 A46">
      <formula1>'Supplement Master List'!$A$24:$A$28</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showGridLines="0" workbookViewId="0"/>
  </sheetViews>
  <sheetFormatPr customHeight="1" defaultColWidth="12.63" defaultRowHeight="15.75"/>
  <cols>
    <col customWidth="1" min="1" max="22" width="6.38"/>
  </cols>
  <sheetData>
    <row r="1">
      <c r="A1" s="442" t="s">
        <v>212</v>
      </c>
      <c r="B1" s="177"/>
      <c r="C1" s="177"/>
      <c r="D1" s="443" t="str">
        <f>'Unbalanced PMR Recipe Data'!D1</f>
        <v>Ronny LeJeune</v>
      </c>
      <c r="E1" s="177"/>
      <c r="F1" s="177"/>
      <c r="G1" s="177"/>
      <c r="H1" s="177"/>
      <c r="I1" s="177"/>
      <c r="J1" s="177"/>
      <c r="K1" s="177"/>
      <c r="L1" s="177"/>
      <c r="M1" s="177"/>
      <c r="N1" s="177"/>
      <c r="O1" s="177"/>
      <c r="P1" s="177"/>
      <c r="Q1" s="177"/>
      <c r="R1" s="177"/>
      <c r="S1" s="177"/>
      <c r="T1" s="177"/>
      <c r="U1" s="177"/>
      <c r="V1" s="177"/>
    </row>
    <row r="2">
      <c r="A2" s="444" t="s">
        <v>214</v>
      </c>
      <c r="B2" s="444"/>
      <c r="C2" s="444"/>
      <c r="D2" s="443" t="str">
        <f>'Unbalanced PMR Recipe Data'!D2</f>
        <v>All Life Stage Single Recipe</v>
      </c>
      <c r="E2" s="177"/>
      <c r="F2" s="177"/>
      <c r="G2" s="177"/>
      <c r="H2" s="177"/>
      <c r="I2" s="177"/>
      <c r="J2" s="177"/>
      <c r="K2" s="177"/>
      <c r="L2" s="177"/>
      <c r="M2" s="177"/>
      <c r="N2" s="177"/>
      <c r="O2" s="177"/>
      <c r="P2" s="177"/>
      <c r="Q2" s="177"/>
      <c r="R2" s="177"/>
      <c r="S2" s="177"/>
      <c r="T2" s="177"/>
      <c r="U2" s="177"/>
      <c r="V2" s="177"/>
    </row>
    <row r="3">
      <c r="A3" s="444" t="s">
        <v>216</v>
      </c>
      <c r="B3" s="444"/>
      <c r="C3" s="444"/>
      <c r="D3" s="443" t="str">
        <f>'Unbalanced PMR Recipe Data'!D3</f>
        <v>All Life Stage Recipe Formulation Adjustment</v>
      </c>
      <c r="E3" s="177"/>
      <c r="F3" s="177"/>
      <c r="G3" s="177"/>
      <c r="H3" s="177"/>
      <c r="I3" s="177"/>
      <c r="J3" s="177"/>
      <c r="K3" s="177"/>
      <c r="L3" s="177"/>
      <c r="M3" s="177"/>
      <c r="N3" s="177"/>
      <c r="O3" s="177"/>
      <c r="P3" s="177"/>
      <c r="Q3" s="177"/>
      <c r="R3" s="177"/>
      <c r="S3" s="177"/>
      <c r="T3" s="177"/>
      <c r="U3" s="177"/>
      <c r="V3" s="177"/>
    </row>
    <row r="4">
      <c r="A4" s="444" t="s">
        <v>218</v>
      </c>
      <c r="B4" s="444"/>
      <c r="C4" s="444"/>
      <c r="D4" s="443">
        <f>'Unbalanced PMR Recipe Data'!D4</f>
        <v>44.99</v>
      </c>
      <c r="E4" s="177"/>
      <c r="F4" s="177"/>
      <c r="G4" s="177"/>
      <c r="H4" s="177"/>
      <c r="I4" s="177"/>
      <c r="J4" s="177"/>
      <c r="K4" s="177"/>
      <c r="L4" s="177"/>
      <c r="M4" s="177"/>
      <c r="N4" s="177"/>
      <c r="O4" s="177"/>
      <c r="P4" s="177"/>
      <c r="Q4" s="177"/>
      <c r="R4" s="177"/>
      <c r="S4" s="177"/>
      <c r="T4" s="177"/>
      <c r="U4" s="177"/>
      <c r="V4" s="177"/>
    </row>
    <row r="5">
      <c r="A5" s="444" t="s">
        <v>219</v>
      </c>
      <c r="B5" s="179"/>
      <c r="C5" s="179"/>
      <c r="D5" s="443">
        <f>'Unbalanced PMR Recipe Data'!D5</f>
        <v>45444</v>
      </c>
      <c r="E5" s="177"/>
      <c r="F5" s="177"/>
      <c r="G5" s="177"/>
      <c r="H5" s="177"/>
      <c r="I5" s="177"/>
      <c r="J5" s="177"/>
      <c r="K5" s="177"/>
      <c r="L5" s="177"/>
      <c r="M5" s="177"/>
      <c r="N5" s="177"/>
      <c r="O5" s="177"/>
      <c r="P5" s="177"/>
      <c r="Q5" s="177"/>
      <c r="R5" s="177"/>
      <c r="S5" s="177"/>
      <c r="T5" s="177"/>
      <c r="U5" s="177"/>
      <c r="V5" s="177"/>
    </row>
    <row r="6">
      <c r="A6" s="444" t="s">
        <v>118</v>
      </c>
      <c r="B6" s="179"/>
      <c r="C6" s="179"/>
      <c r="D6" s="443" t="str">
        <f>'Unbalanced PMR Recipe Data'!D6</f>
        <v>PET NAME</v>
      </c>
      <c r="E6" s="177"/>
      <c r="F6" s="177"/>
      <c r="G6" s="177"/>
      <c r="H6" s="177"/>
      <c r="I6" s="177"/>
      <c r="J6" s="177"/>
      <c r="K6" s="177"/>
      <c r="L6" s="177"/>
      <c r="M6" s="177"/>
      <c r="N6" s="177"/>
      <c r="O6" s="177"/>
      <c r="P6" s="177"/>
      <c r="Q6" s="177"/>
      <c r="R6" s="177"/>
      <c r="S6" s="177"/>
      <c r="T6" s="177"/>
      <c r="U6" s="177"/>
      <c r="V6" s="177"/>
    </row>
    <row r="7">
      <c r="A7" s="444" t="s">
        <v>142</v>
      </c>
      <c r="B7" s="179"/>
      <c r="C7" s="179"/>
      <c r="D7" s="443" t="str">
        <f>'Unbalanced PMR Recipe Data'!D7</f>
        <v>Dog</v>
      </c>
      <c r="E7" s="177"/>
      <c r="F7" s="177"/>
      <c r="G7" s="177"/>
      <c r="H7" s="177"/>
      <c r="I7" s="177"/>
      <c r="J7" s="177"/>
      <c r="K7" s="177"/>
      <c r="L7" s="177"/>
      <c r="M7" s="177"/>
      <c r="N7" s="177"/>
      <c r="O7" s="177"/>
      <c r="P7" s="177"/>
      <c r="Q7" s="177"/>
      <c r="R7" s="177"/>
      <c r="S7" s="177"/>
      <c r="T7" s="177"/>
      <c r="U7" s="177"/>
      <c r="V7" s="177"/>
    </row>
    <row r="8">
      <c r="A8" s="444" t="s">
        <v>122</v>
      </c>
      <c r="B8" s="179"/>
      <c r="C8" s="179"/>
      <c r="D8" s="443" t="str">
        <f>'Unbalanced PMR Recipe Data'!D8</f>
        <v>ALL LIFE STAGE</v>
      </c>
      <c r="E8" s="177"/>
      <c r="F8" s="177"/>
      <c r="G8" s="177"/>
      <c r="H8" s="177"/>
      <c r="I8" s="177"/>
      <c r="J8" s="177"/>
      <c r="K8" s="177"/>
      <c r="L8" s="177"/>
      <c r="M8" s="177"/>
      <c r="N8" s="177"/>
      <c r="O8" s="177"/>
      <c r="P8" s="177"/>
      <c r="Q8" s="177"/>
      <c r="R8" s="177"/>
      <c r="S8" s="177"/>
      <c r="T8" s="177"/>
      <c r="U8" s="177"/>
      <c r="V8" s="177"/>
    </row>
    <row r="9">
      <c r="A9" s="444" t="s">
        <v>222</v>
      </c>
      <c r="B9" s="179"/>
      <c r="C9" s="179"/>
      <c r="D9" s="448">
        <f>'Unbalanced PMR Recipe Data'!D9</f>
        <v>50</v>
      </c>
      <c r="E9" s="449" t="str">
        <f>'Unbalanced PMR Recipe Data'!E9</f>
        <v>LB</v>
      </c>
    </row>
    <row r="10">
      <c r="A10" s="444" t="s">
        <v>223</v>
      </c>
      <c r="B10" s="444"/>
      <c r="C10" s="444"/>
      <c r="D10" s="448">
        <f>'Unbalanced PMR Recipe Data'!D10</f>
        <v>50</v>
      </c>
      <c r="E10" s="177"/>
      <c r="F10" s="177"/>
      <c r="G10" s="177"/>
      <c r="H10" s="177"/>
      <c r="I10" s="177"/>
      <c r="J10" s="177"/>
      <c r="K10" s="177"/>
      <c r="L10" s="177"/>
      <c r="M10" s="177"/>
      <c r="N10" s="177"/>
      <c r="O10" s="177"/>
      <c r="P10" s="177"/>
      <c r="Q10" s="177"/>
      <c r="R10" s="177"/>
      <c r="S10" s="177"/>
      <c r="T10" s="177"/>
      <c r="U10" s="177"/>
      <c r="V10" s="177"/>
    </row>
    <row r="11">
      <c r="A11" s="444" t="s">
        <v>224</v>
      </c>
      <c r="B11" s="179"/>
      <c r="C11" s="179"/>
      <c r="D11" s="450">
        <f>'Unbalanced PMR Recipe Data'!D11</f>
        <v>1000</v>
      </c>
      <c r="E11" s="179"/>
      <c r="F11" s="179"/>
      <c r="G11" s="179"/>
      <c r="H11" s="179"/>
      <c r="I11" s="179"/>
      <c r="J11" s="179"/>
      <c r="K11" s="179"/>
      <c r="L11" s="179"/>
      <c r="M11" s="179"/>
      <c r="N11" s="179"/>
      <c r="O11" s="179"/>
      <c r="P11" s="179"/>
      <c r="Q11" s="179"/>
      <c r="R11" s="179"/>
      <c r="S11" s="179"/>
      <c r="T11" s="179"/>
      <c r="U11" s="179"/>
      <c r="V11" s="179"/>
    </row>
    <row r="12">
      <c r="A12" s="444" t="s">
        <v>225</v>
      </c>
      <c r="B12" s="444"/>
      <c r="C12" s="444"/>
      <c r="D12" s="448">
        <f>'Unbalanced PMR Recipe Data'!D12</f>
        <v>30</v>
      </c>
      <c r="E12" s="179"/>
      <c r="F12" s="179"/>
      <c r="G12" s="179"/>
      <c r="H12" s="179"/>
      <c r="I12" s="179"/>
      <c r="J12" s="179"/>
      <c r="K12" s="179"/>
      <c r="L12" s="179"/>
      <c r="M12" s="179"/>
      <c r="N12" s="179"/>
      <c r="O12" s="179"/>
      <c r="P12" s="179"/>
      <c r="Q12" s="179"/>
      <c r="R12" s="179"/>
      <c r="S12" s="179"/>
      <c r="T12" s="179"/>
      <c r="U12" s="179"/>
      <c r="V12" s="179"/>
    </row>
    <row r="13">
      <c r="A13" s="444" t="s">
        <v>226</v>
      </c>
      <c r="B13" s="444"/>
      <c r="C13" s="444"/>
      <c r="D13" s="448" t="str">
        <f>'Unbalanced PMR Recipe Data'!D13</f>
        <v>Amazon</v>
      </c>
      <c r="E13" s="179"/>
      <c r="F13" s="179"/>
      <c r="G13" s="179"/>
      <c r="H13" s="179"/>
      <c r="I13" s="179"/>
      <c r="J13" s="179"/>
      <c r="K13" s="179"/>
      <c r="L13" s="179"/>
      <c r="M13" s="179"/>
      <c r="N13" s="179"/>
      <c r="O13" s="179"/>
      <c r="P13" s="179"/>
      <c r="Q13" s="179"/>
      <c r="R13" s="179"/>
      <c r="S13" s="179"/>
      <c r="T13" s="179"/>
      <c r="U13" s="179"/>
      <c r="V13" s="179"/>
    </row>
    <row r="14">
      <c r="A14" s="444" t="s">
        <v>227</v>
      </c>
      <c r="B14" s="179"/>
      <c r="C14" s="179"/>
      <c r="D14" s="448" t="str">
        <f>'Unbalanced PMR Recipe Data'!D14</f>
        <v>VIP MEMBERSHIP RECIPE</v>
      </c>
      <c r="E14" s="179"/>
      <c r="F14" s="179"/>
      <c r="G14" s="179"/>
      <c r="H14" s="179"/>
      <c r="I14" s="179"/>
      <c r="J14" s="179"/>
      <c r="K14" s="179"/>
      <c r="L14" s="179"/>
      <c r="M14" s="179"/>
      <c r="N14" s="179"/>
      <c r="O14" s="179"/>
      <c r="P14" s="179"/>
      <c r="Q14" s="179"/>
      <c r="R14" s="179"/>
      <c r="S14" s="179"/>
      <c r="T14" s="179"/>
      <c r="U14" s="179"/>
      <c r="V14" s="179"/>
    </row>
    <row r="15">
      <c r="A15" s="444" t="s">
        <v>229</v>
      </c>
      <c r="B15" s="444"/>
      <c r="C15" s="444"/>
      <c r="D15" s="448">
        <f>'Unbalanced PMR Recipe Data'!D15</f>
        <v>2</v>
      </c>
      <c r="E15" s="179"/>
      <c r="F15" s="179"/>
      <c r="G15" s="179"/>
      <c r="H15" s="179"/>
      <c r="I15" s="179"/>
      <c r="J15" s="179"/>
      <c r="K15" s="179"/>
      <c r="L15" s="179"/>
      <c r="M15" s="179"/>
      <c r="N15" s="179"/>
      <c r="O15" s="179"/>
      <c r="P15" s="179"/>
      <c r="Q15" s="179"/>
      <c r="R15" s="179"/>
      <c r="S15" s="179"/>
      <c r="T15" s="179"/>
      <c r="U15" s="179"/>
      <c r="V15" s="179"/>
    </row>
    <row r="16">
      <c r="A16" s="453" t="s">
        <v>230</v>
      </c>
      <c r="B16" s="453"/>
      <c r="C16" s="453"/>
      <c r="D16" s="454">
        <f>'Unbalanced PMR Recipe Data'!D16</f>
        <v>220</v>
      </c>
      <c r="E16" s="455"/>
      <c r="F16" s="455"/>
      <c r="G16" s="455"/>
      <c r="H16" s="455"/>
      <c r="I16" s="455"/>
      <c r="J16" s="455"/>
      <c r="K16" s="455"/>
      <c r="L16" s="455"/>
      <c r="M16" s="455"/>
      <c r="N16" s="455"/>
      <c r="O16" s="455"/>
      <c r="P16" s="455"/>
      <c r="Q16" s="455"/>
      <c r="R16" s="455"/>
      <c r="S16" s="455"/>
      <c r="T16" s="455"/>
      <c r="U16" s="455"/>
      <c r="V16" s="455"/>
    </row>
    <row r="17">
      <c r="A17" s="456" t="s">
        <v>231</v>
      </c>
      <c r="H17" s="457"/>
      <c r="I17" s="457"/>
      <c r="J17" s="457"/>
      <c r="K17" s="457"/>
      <c r="L17" s="457"/>
      <c r="M17" s="457"/>
      <c r="N17" s="457"/>
      <c r="O17" s="457"/>
      <c r="P17" s="457"/>
      <c r="Q17" s="457"/>
      <c r="R17" s="457"/>
      <c r="S17" s="457"/>
      <c r="T17" s="457"/>
      <c r="U17" s="457"/>
      <c r="V17" s="457"/>
    </row>
    <row r="18">
      <c r="H18" s="457"/>
      <c r="I18" s="458" t="s">
        <v>399</v>
      </c>
    </row>
    <row r="19">
      <c r="A19" s="457"/>
      <c r="B19" s="459" t="s">
        <v>400</v>
      </c>
    </row>
    <row r="20">
      <c r="A20" s="459" t="s">
        <v>234</v>
      </c>
      <c r="F20" s="460">
        <v>700.95</v>
      </c>
      <c r="L20" s="457"/>
      <c r="M20" s="457"/>
      <c r="N20" s="457"/>
      <c r="O20" s="457"/>
      <c r="P20" s="457"/>
      <c r="Q20" s="457"/>
      <c r="R20" s="457"/>
      <c r="S20" s="457"/>
      <c r="T20" s="457"/>
      <c r="U20" s="457"/>
      <c r="V20" s="457"/>
    </row>
    <row r="21">
      <c r="A21" s="459" t="s">
        <v>235</v>
      </c>
      <c r="F21" s="460">
        <v>1000.592</v>
      </c>
      <c r="L21" s="457"/>
      <c r="M21" s="457"/>
      <c r="N21" s="457"/>
      <c r="O21" s="457"/>
      <c r="P21" s="457"/>
      <c r="Q21" s="457"/>
      <c r="R21" s="457"/>
      <c r="S21" s="457"/>
      <c r="T21" s="457"/>
      <c r="U21" s="457"/>
      <c r="V21" s="457"/>
    </row>
    <row r="22">
      <c r="A22" s="459" t="s">
        <v>236</v>
      </c>
      <c r="F22" s="460">
        <v>108.507</v>
      </c>
      <c r="L22" s="457"/>
      <c r="M22" s="457"/>
      <c r="N22" s="457"/>
      <c r="O22" s="457"/>
      <c r="P22" s="457"/>
      <c r="Q22" s="457"/>
      <c r="R22" s="457"/>
      <c r="S22" s="457"/>
      <c r="T22" s="457"/>
      <c r="U22" s="457"/>
      <c r="V22" s="457"/>
    </row>
    <row r="23">
      <c r="A23" s="459" t="s">
        <v>237</v>
      </c>
      <c r="F23" s="460">
        <v>54.437</v>
      </c>
      <c r="L23" s="457"/>
      <c r="M23" s="457"/>
      <c r="N23" s="457"/>
      <c r="O23" s="457"/>
      <c r="P23" s="457"/>
      <c r="Q23" s="457"/>
      <c r="R23" s="457"/>
      <c r="S23" s="457"/>
      <c r="T23" s="457"/>
      <c r="U23" s="457"/>
      <c r="V23" s="457"/>
    </row>
    <row r="24">
      <c r="A24" s="459" t="s">
        <v>238</v>
      </c>
      <c r="F24" s="460">
        <v>22.295</v>
      </c>
      <c r="L24" s="457"/>
      <c r="M24" s="457"/>
      <c r="N24" s="457"/>
      <c r="O24" s="457"/>
      <c r="P24" s="457"/>
      <c r="Q24" s="457"/>
      <c r="R24" s="457"/>
      <c r="S24" s="457"/>
      <c r="T24" s="457"/>
      <c r="U24" s="457"/>
      <c r="V24" s="457"/>
    </row>
    <row r="25">
      <c r="A25" s="459" t="s">
        <v>239</v>
      </c>
      <c r="F25" s="460">
        <v>10.619</v>
      </c>
      <c r="L25" s="457"/>
      <c r="M25" s="457"/>
      <c r="N25" s="457"/>
      <c r="O25" s="457"/>
      <c r="P25" s="457"/>
      <c r="Q25" s="457"/>
      <c r="R25" s="457"/>
      <c r="S25" s="457"/>
      <c r="T25" s="457"/>
      <c r="U25" s="457"/>
      <c r="V25" s="457"/>
    </row>
    <row r="26">
      <c r="A26" s="459" t="s">
        <v>240</v>
      </c>
      <c r="F26" s="460">
        <v>9.45</v>
      </c>
      <c r="L26" s="457"/>
      <c r="M26" s="457"/>
      <c r="N26" s="457"/>
      <c r="O26" s="457"/>
      <c r="P26" s="457"/>
      <c r="Q26" s="457"/>
      <c r="R26" s="457"/>
      <c r="S26" s="457"/>
      <c r="T26" s="457"/>
      <c r="U26" s="457"/>
      <c r="V26" s="457"/>
    </row>
    <row r="27">
      <c r="A27" s="459" t="s">
        <v>241</v>
      </c>
      <c r="F27" s="460">
        <v>0.114</v>
      </c>
      <c r="L27" s="457"/>
      <c r="M27" s="457"/>
      <c r="N27" s="457"/>
      <c r="O27" s="457"/>
      <c r="P27" s="457"/>
      <c r="Q27" s="457"/>
      <c r="R27" s="457"/>
      <c r="S27" s="457"/>
      <c r="T27" s="457"/>
      <c r="U27" s="457"/>
      <c r="V27" s="457"/>
    </row>
    <row r="28">
      <c r="A28" s="459" t="s">
        <v>242</v>
      </c>
      <c r="F28" s="460">
        <v>15.078</v>
      </c>
      <c r="L28" s="457"/>
      <c r="M28" s="457"/>
      <c r="N28" s="457"/>
      <c r="O28" s="457"/>
      <c r="P28" s="457"/>
      <c r="Q28" s="457"/>
      <c r="R28" s="457"/>
      <c r="S28" s="457"/>
      <c r="T28" s="457"/>
      <c r="U28" s="457"/>
      <c r="V28" s="457"/>
    </row>
    <row r="29">
      <c r="A29" s="459" t="s">
        <v>243</v>
      </c>
      <c r="F29" s="460">
        <v>2.667</v>
      </c>
      <c r="L29" s="457"/>
      <c r="M29" s="457"/>
      <c r="N29" s="457"/>
      <c r="O29" s="457"/>
      <c r="P29" s="457"/>
      <c r="Q29" s="457"/>
      <c r="R29" s="457"/>
      <c r="S29" s="457"/>
      <c r="T29" s="457"/>
      <c r="U29" s="457"/>
      <c r="V29" s="457"/>
    </row>
    <row r="30">
      <c r="A30" s="459" t="s">
        <v>244</v>
      </c>
      <c r="F30" s="460">
        <v>503.43</v>
      </c>
      <c r="L30" s="457"/>
      <c r="M30" s="457"/>
      <c r="N30" s="457"/>
      <c r="O30" s="457"/>
      <c r="P30" s="457"/>
      <c r="Q30" s="457"/>
      <c r="R30" s="457"/>
      <c r="S30" s="457"/>
      <c r="T30" s="457"/>
      <c r="U30" s="457"/>
      <c r="V30" s="457"/>
    </row>
    <row r="31">
      <c r="A31" s="459" t="s">
        <v>245</v>
      </c>
      <c r="F31" s="460">
        <v>21.951</v>
      </c>
      <c r="L31" s="457"/>
      <c r="M31" s="457"/>
      <c r="N31" s="457"/>
      <c r="O31" s="457"/>
      <c r="P31" s="457"/>
      <c r="Q31" s="457"/>
      <c r="R31" s="457"/>
      <c r="S31" s="457"/>
      <c r="T31" s="457"/>
      <c r="U31" s="457"/>
      <c r="V31" s="457"/>
    </row>
    <row r="32">
      <c r="A32" s="459" t="s">
        <v>246</v>
      </c>
      <c r="F32" s="460">
        <v>5.462</v>
      </c>
      <c r="L32" s="457"/>
      <c r="M32" s="457"/>
      <c r="N32" s="457"/>
      <c r="O32" s="457"/>
      <c r="P32" s="457"/>
      <c r="Q32" s="457"/>
      <c r="R32" s="457"/>
      <c r="S32" s="457"/>
      <c r="T32" s="457"/>
      <c r="U32" s="457"/>
      <c r="V32" s="457"/>
    </row>
    <row r="33">
      <c r="A33" s="459" t="s">
        <v>247</v>
      </c>
      <c r="F33" s="460">
        <v>0.136</v>
      </c>
      <c r="L33" s="457"/>
      <c r="M33" s="457"/>
      <c r="N33" s="457"/>
      <c r="O33" s="457"/>
      <c r="P33" s="457"/>
      <c r="Q33" s="457"/>
      <c r="R33" s="457"/>
      <c r="S33" s="457"/>
      <c r="T33" s="457"/>
      <c r="U33" s="457"/>
      <c r="V33" s="457"/>
    </row>
    <row r="34">
      <c r="A34" s="459" t="s">
        <v>248</v>
      </c>
      <c r="F34" s="460">
        <v>0.348</v>
      </c>
      <c r="L34" s="457"/>
      <c r="M34" s="457"/>
      <c r="N34" s="457"/>
      <c r="O34" s="457"/>
      <c r="P34" s="457"/>
      <c r="Q34" s="457"/>
      <c r="R34" s="457"/>
      <c r="S34" s="457"/>
      <c r="T34" s="457"/>
      <c r="U34" s="457"/>
      <c r="V34" s="457"/>
    </row>
    <row r="35">
      <c r="A35" s="459" t="s">
        <v>249</v>
      </c>
      <c r="F35" s="459"/>
      <c r="L35" s="457"/>
      <c r="M35" s="457"/>
      <c r="N35" s="457"/>
      <c r="O35" s="457"/>
      <c r="P35" s="457"/>
      <c r="Q35" s="457"/>
      <c r="R35" s="457"/>
      <c r="S35" s="457"/>
      <c r="T35" s="457"/>
      <c r="U35" s="457"/>
      <c r="V35" s="457"/>
    </row>
    <row r="36">
      <c r="A36" s="459"/>
      <c r="F36" s="461" t="s">
        <v>250</v>
      </c>
      <c r="M36" s="461" t="s">
        <v>251</v>
      </c>
      <c r="Q36" s="461" t="s">
        <v>252</v>
      </c>
    </row>
    <row r="37">
      <c r="A37" s="459" t="s">
        <v>135</v>
      </c>
      <c r="F37" s="460" t="s">
        <v>401</v>
      </c>
      <c r="M37" s="460" t="s">
        <v>402</v>
      </c>
      <c r="Q37" s="460" t="s">
        <v>403</v>
      </c>
    </row>
    <row r="38">
      <c r="A38" s="459" t="s">
        <v>136</v>
      </c>
      <c r="F38" s="460" t="s">
        <v>404</v>
      </c>
      <c r="M38" s="460" t="s">
        <v>405</v>
      </c>
      <c r="Q38" s="460" t="s">
        <v>406</v>
      </c>
    </row>
    <row r="39">
      <c r="A39" s="459" t="s">
        <v>259</v>
      </c>
      <c r="F39" s="460" t="s">
        <v>407</v>
      </c>
      <c r="M39" s="460" t="s">
        <v>408</v>
      </c>
      <c r="Q39" s="460" t="s">
        <v>409</v>
      </c>
    </row>
    <row r="40">
      <c r="A40" s="459" t="s">
        <v>138</v>
      </c>
      <c r="F40" s="460" t="s">
        <v>410</v>
      </c>
      <c r="M40" s="460" t="s">
        <v>411</v>
      </c>
      <c r="Q40" s="460" t="s">
        <v>412</v>
      </c>
    </row>
    <row r="41">
      <c r="A41" s="459" t="s">
        <v>134</v>
      </c>
      <c r="F41" s="460" t="s">
        <v>413</v>
      </c>
      <c r="M41" s="459"/>
      <c r="Q41" s="460" t="s">
        <v>262</v>
      </c>
    </row>
    <row r="42">
      <c r="A42" s="459" t="s">
        <v>139</v>
      </c>
      <c r="F42" s="460" t="s">
        <v>414</v>
      </c>
      <c r="M42" s="459"/>
      <c r="Q42" s="460" t="s">
        <v>415</v>
      </c>
    </row>
    <row r="43">
      <c r="A43" s="459" t="s">
        <v>265</v>
      </c>
      <c r="J43" s="459"/>
      <c r="N43" s="459"/>
      <c r="S43" s="459"/>
    </row>
    <row r="44">
      <c r="A44" s="459" t="s">
        <v>266</v>
      </c>
      <c r="K44" s="460">
        <v>1.427</v>
      </c>
      <c r="M44" s="460" t="s">
        <v>267</v>
      </c>
      <c r="U44" s="460">
        <v>40.468</v>
      </c>
    </row>
    <row r="45">
      <c r="A45" s="459" t="s">
        <v>268</v>
      </c>
      <c r="K45" s="460">
        <v>108.442</v>
      </c>
      <c r="M45" s="460" t="s">
        <v>269</v>
      </c>
      <c r="U45" s="460">
        <v>647.494</v>
      </c>
    </row>
    <row r="46">
      <c r="A46" s="459" t="s">
        <v>270</v>
      </c>
      <c r="K46" s="460">
        <v>54.405</v>
      </c>
      <c r="M46" s="460" t="s">
        <v>271</v>
      </c>
      <c r="U46" s="460">
        <v>2297.802</v>
      </c>
    </row>
    <row r="47">
      <c r="A47" s="459" t="s">
        <v>272</v>
      </c>
      <c r="K47" s="460">
        <v>15.069</v>
      </c>
      <c r="M47" s="460" t="s">
        <v>273</v>
      </c>
      <c r="U47" s="460">
        <v>1427.48</v>
      </c>
    </row>
    <row r="48">
      <c r="A48" s="459" t="s">
        <v>274</v>
      </c>
      <c r="K48" s="460">
        <v>2.665</v>
      </c>
      <c r="M48" s="460" t="s">
        <v>275</v>
      </c>
      <c r="U48" s="460">
        <v>5065.786</v>
      </c>
    </row>
    <row r="49">
      <c r="A49" s="459" t="s">
        <v>145</v>
      </c>
      <c r="I49" s="459"/>
      <c r="L49" s="457"/>
      <c r="M49" s="457"/>
      <c r="N49" s="457"/>
      <c r="O49" s="459" t="s">
        <v>169</v>
      </c>
      <c r="U49" s="459"/>
    </row>
    <row r="50">
      <c r="A50" s="459" t="s">
        <v>276</v>
      </c>
      <c r="I50" s="460">
        <v>7.26</v>
      </c>
      <c r="L50" s="457"/>
      <c r="M50" s="457"/>
      <c r="N50" s="457"/>
      <c r="O50" s="459" t="s">
        <v>277</v>
      </c>
      <c r="U50" s="460">
        <v>3173.55</v>
      </c>
    </row>
    <row r="51">
      <c r="A51" s="459" t="s">
        <v>278</v>
      </c>
      <c r="I51" s="460">
        <v>3.16</v>
      </c>
      <c r="L51" s="457"/>
      <c r="M51" s="457"/>
      <c r="N51" s="457"/>
      <c r="O51" s="457"/>
      <c r="P51" s="459" t="s">
        <v>279</v>
      </c>
      <c r="U51" s="460">
        <v>10578.5</v>
      </c>
    </row>
    <row r="52">
      <c r="A52" s="459" t="s">
        <v>280</v>
      </c>
      <c r="I52" s="460">
        <v>5.15</v>
      </c>
      <c r="L52" s="457"/>
      <c r="M52" s="457"/>
      <c r="N52" s="457"/>
      <c r="O52" s="457"/>
      <c r="P52" s="459" t="s">
        <v>281</v>
      </c>
      <c r="U52" s="460">
        <v>5290.31</v>
      </c>
    </row>
    <row r="53">
      <c r="A53" s="459" t="s">
        <v>282</v>
      </c>
      <c r="I53" s="460">
        <v>2.83</v>
      </c>
      <c r="L53" s="457"/>
      <c r="M53" s="457"/>
      <c r="N53" s="457"/>
      <c r="O53" s="459" t="s">
        <v>283</v>
      </c>
      <c r="U53" s="460">
        <v>5.87</v>
      </c>
    </row>
    <row r="54">
      <c r="A54" s="459" t="s">
        <v>284</v>
      </c>
      <c r="I54" s="460">
        <v>1.47</v>
      </c>
      <c r="L54" s="457"/>
      <c r="M54" s="457"/>
      <c r="N54" s="457"/>
      <c r="O54" s="459" t="s">
        <v>285</v>
      </c>
      <c r="U54" s="460">
        <v>234.8</v>
      </c>
    </row>
    <row r="55">
      <c r="A55" s="459" t="s">
        <v>286</v>
      </c>
      <c r="I55" s="460">
        <v>4.3</v>
      </c>
      <c r="L55" s="457"/>
      <c r="M55" s="457"/>
      <c r="N55" s="457"/>
      <c r="O55" s="459" t="s">
        <v>287</v>
      </c>
      <c r="U55" s="460">
        <v>4.31</v>
      </c>
    </row>
    <row r="56">
      <c r="A56" s="459" t="s">
        <v>288</v>
      </c>
      <c r="I56" s="460">
        <v>9.08</v>
      </c>
      <c r="L56" s="457"/>
      <c r="M56" s="457"/>
      <c r="N56" s="457"/>
      <c r="O56" s="457"/>
      <c r="P56" s="459" t="s">
        <v>289</v>
      </c>
      <c r="U56" s="460">
        <v>6.46</v>
      </c>
    </row>
    <row r="57">
      <c r="A57" s="459" t="s">
        <v>290</v>
      </c>
      <c r="I57" s="460">
        <v>10.01</v>
      </c>
      <c r="L57" s="457"/>
      <c r="M57" s="457"/>
      <c r="N57" s="457"/>
      <c r="O57" s="457"/>
      <c r="P57" s="459" t="s">
        <v>291</v>
      </c>
      <c r="U57" s="460">
        <v>4.73</v>
      </c>
    </row>
    <row r="58">
      <c r="A58" s="459" t="s">
        <v>292</v>
      </c>
      <c r="I58" s="460">
        <v>4.79</v>
      </c>
      <c r="L58" s="457"/>
      <c r="M58" s="457"/>
      <c r="N58" s="457"/>
      <c r="O58" s="459" t="s">
        <v>293</v>
      </c>
      <c r="U58" s="460">
        <v>0.01</v>
      </c>
    </row>
    <row r="59">
      <c r="A59" s="459" t="s">
        <v>294</v>
      </c>
      <c r="I59" s="460">
        <v>4.12</v>
      </c>
      <c r="L59" s="457"/>
      <c r="M59" s="457"/>
      <c r="N59" s="457"/>
      <c r="O59" s="459" t="s">
        <v>295</v>
      </c>
      <c r="U59" s="460">
        <v>18.57</v>
      </c>
    </row>
    <row r="60">
      <c r="A60" s="459" t="s">
        <v>296</v>
      </c>
      <c r="I60" s="460">
        <v>8.91</v>
      </c>
      <c r="L60" s="457"/>
      <c r="M60" s="457"/>
      <c r="N60" s="457"/>
      <c r="O60" s="459" t="s">
        <v>297</v>
      </c>
      <c r="U60" s="460">
        <v>0.83</v>
      </c>
    </row>
    <row r="61">
      <c r="A61" s="459" t="s">
        <v>298</v>
      </c>
      <c r="I61" s="460">
        <v>5.1</v>
      </c>
      <c r="L61" s="457"/>
      <c r="M61" s="457"/>
      <c r="N61" s="457"/>
      <c r="O61" s="459" t="s">
        <v>299</v>
      </c>
      <c r="U61" s="460">
        <v>2.77</v>
      </c>
    </row>
    <row r="62">
      <c r="A62" s="459" t="s">
        <v>300</v>
      </c>
      <c r="I62" s="460">
        <v>1.51</v>
      </c>
      <c r="L62" s="457"/>
      <c r="M62" s="457"/>
      <c r="N62" s="457"/>
      <c r="O62" s="459" t="s">
        <v>301</v>
      </c>
      <c r="U62" s="460">
        <v>44.76</v>
      </c>
    </row>
    <row r="63">
      <c r="A63" s="459" t="s">
        <v>302</v>
      </c>
      <c r="I63" s="460">
        <v>5.66</v>
      </c>
      <c r="L63" s="457"/>
      <c r="M63" s="457"/>
      <c r="N63" s="457"/>
      <c r="O63" s="459" t="s">
        <v>303</v>
      </c>
      <c r="U63" s="460">
        <v>9.64</v>
      </c>
    </row>
    <row r="64">
      <c r="A64" s="459" t="s">
        <v>304</v>
      </c>
      <c r="I64" s="460">
        <v>18.26</v>
      </c>
      <c r="L64" s="457"/>
      <c r="M64" s="457"/>
      <c r="N64" s="457"/>
      <c r="O64" s="459" t="s">
        <v>305</v>
      </c>
      <c r="U64" s="460">
        <v>3.31</v>
      </c>
    </row>
    <row r="65">
      <c r="A65" s="459" t="s">
        <v>306</v>
      </c>
      <c r="I65" s="460">
        <v>6.44</v>
      </c>
      <c r="L65" s="457"/>
      <c r="M65" s="457"/>
      <c r="N65" s="457"/>
      <c r="O65" s="459" t="s">
        <v>307</v>
      </c>
      <c r="U65" s="460">
        <v>63.0</v>
      </c>
    </row>
    <row r="66">
      <c r="A66" s="459" t="s">
        <v>308</v>
      </c>
      <c r="I66" s="459"/>
      <c r="L66" s="457"/>
      <c r="M66" s="457"/>
      <c r="N66" s="457"/>
      <c r="O66" s="459" t="s">
        <v>309</v>
      </c>
      <c r="U66" s="460">
        <v>262.23</v>
      </c>
    </row>
    <row r="67">
      <c r="A67" s="457"/>
      <c r="B67" s="457"/>
      <c r="C67" s="457"/>
      <c r="D67" s="457"/>
      <c r="E67" s="457"/>
      <c r="F67" s="457"/>
      <c r="G67" s="457"/>
      <c r="H67" s="457"/>
      <c r="I67" s="457"/>
      <c r="J67" s="457"/>
      <c r="K67" s="457"/>
      <c r="L67" s="457"/>
      <c r="M67" s="457"/>
      <c r="N67" s="457"/>
      <c r="O67" s="459" t="s">
        <v>310</v>
      </c>
      <c r="U67" s="460">
        <v>54.46</v>
      </c>
    </row>
    <row r="68">
      <c r="A68" s="459" t="s">
        <v>311</v>
      </c>
      <c r="I68" s="459"/>
      <c r="L68" s="457"/>
      <c r="M68" s="457"/>
      <c r="N68" s="457"/>
      <c r="O68" s="459" t="s">
        <v>312</v>
      </c>
      <c r="U68" s="460">
        <v>225.71</v>
      </c>
    </row>
    <row r="69">
      <c r="A69" s="459" t="s">
        <v>313</v>
      </c>
      <c r="I69" s="460">
        <v>6.92</v>
      </c>
      <c r="L69" s="457"/>
      <c r="M69" s="457"/>
      <c r="N69" s="457"/>
      <c r="O69" s="457"/>
      <c r="P69" s="457"/>
      <c r="Q69" s="457"/>
      <c r="R69" s="457"/>
      <c r="S69" s="457"/>
      <c r="T69" s="457"/>
      <c r="U69" s="457"/>
      <c r="V69" s="457"/>
    </row>
    <row r="70">
      <c r="A70" s="459" t="s">
        <v>314</v>
      </c>
      <c r="I70" s="460">
        <v>1.04</v>
      </c>
      <c r="L70" s="457"/>
      <c r="M70" s="457"/>
      <c r="N70" s="457"/>
      <c r="O70" s="459" t="s">
        <v>183</v>
      </c>
      <c r="U70" s="459"/>
    </row>
    <row r="71">
      <c r="A71" s="459" t="s">
        <v>315</v>
      </c>
      <c r="I71" s="460">
        <v>0.36</v>
      </c>
      <c r="L71" s="457"/>
      <c r="M71" s="457"/>
      <c r="N71" s="457"/>
    </row>
    <row r="72">
      <c r="L72" s="457"/>
      <c r="M72" s="457"/>
      <c r="N72" s="457"/>
      <c r="O72" s="459" t="s">
        <v>316</v>
      </c>
      <c r="U72" s="460">
        <v>3.02</v>
      </c>
    </row>
    <row r="73">
      <c r="A73" s="459" t="s">
        <v>317</v>
      </c>
      <c r="I73" s="460">
        <v>0.21</v>
      </c>
      <c r="L73" s="457"/>
      <c r="M73" s="457"/>
      <c r="N73" s="457"/>
    </row>
    <row r="74">
      <c r="L74" s="457"/>
      <c r="M74" s="457"/>
      <c r="N74" s="457"/>
      <c r="O74" s="459" t="s">
        <v>318</v>
      </c>
      <c r="U74" s="460">
        <v>2.45</v>
      </c>
    </row>
    <row r="75">
      <c r="A75" s="459" t="s">
        <v>319</v>
      </c>
      <c r="I75" s="460">
        <v>0.27</v>
      </c>
      <c r="L75" s="457"/>
      <c r="M75" s="457"/>
      <c r="N75" s="457"/>
    </row>
    <row r="76">
      <c r="L76" s="457"/>
      <c r="M76" s="457"/>
      <c r="N76" s="457"/>
      <c r="O76" s="459" t="s">
        <v>320</v>
      </c>
      <c r="U76" s="460">
        <v>210.44</v>
      </c>
    </row>
    <row r="77">
      <c r="A77" s="459" t="s">
        <v>321</v>
      </c>
      <c r="I77" s="460">
        <v>0.48</v>
      </c>
      <c r="L77" s="457"/>
      <c r="M77" s="457"/>
      <c r="N77" s="457"/>
    </row>
    <row r="78">
      <c r="L78" s="457"/>
      <c r="M78" s="457"/>
      <c r="N78" s="457"/>
      <c r="O78" s="459" t="s">
        <v>322</v>
      </c>
      <c r="U78" s="460">
        <v>681.24</v>
      </c>
    </row>
    <row r="79">
      <c r="A79" s="459" t="s">
        <v>323</v>
      </c>
      <c r="I79" s="460">
        <v>0.01</v>
      </c>
      <c r="L79" s="457"/>
      <c r="M79" s="457"/>
      <c r="N79" s="457"/>
    </row>
    <row r="80">
      <c r="L80" s="457"/>
      <c r="M80" s="457"/>
      <c r="N80" s="457"/>
      <c r="O80" s="459" t="s">
        <v>324</v>
      </c>
      <c r="U80" s="460">
        <v>1.61</v>
      </c>
    </row>
    <row r="81">
      <c r="A81" s="459" t="s">
        <v>325</v>
      </c>
      <c r="I81" s="460">
        <v>0.01</v>
      </c>
      <c r="L81" s="457"/>
      <c r="M81" s="457"/>
      <c r="N81" s="457"/>
    </row>
    <row r="82">
      <c r="L82" s="457"/>
      <c r="M82" s="457"/>
      <c r="N82" s="457"/>
      <c r="O82" s="459" t="s">
        <v>326</v>
      </c>
      <c r="U82" s="460">
        <v>1021.86</v>
      </c>
    </row>
    <row r="83">
      <c r="A83" s="457"/>
      <c r="B83" s="457"/>
      <c r="C83" s="457"/>
      <c r="D83" s="457"/>
      <c r="E83" s="457"/>
      <c r="F83" s="457"/>
      <c r="G83" s="457"/>
      <c r="H83" s="457"/>
      <c r="I83" s="457"/>
      <c r="J83" s="457"/>
      <c r="K83" s="457"/>
      <c r="L83" s="457"/>
      <c r="M83" s="457"/>
      <c r="N83" s="457"/>
      <c r="O83" s="459" t="s">
        <v>327</v>
      </c>
      <c r="U83" s="460">
        <v>38.67</v>
      </c>
    </row>
    <row r="84">
      <c r="A84" s="457"/>
      <c r="B84" s="459" t="s">
        <v>328</v>
      </c>
      <c r="H84" s="459"/>
      <c r="L84" s="457"/>
      <c r="M84" s="457"/>
      <c r="N84" s="457"/>
    </row>
    <row r="85">
      <c r="A85" s="457"/>
      <c r="L85" s="457"/>
      <c r="M85" s="457"/>
      <c r="N85" s="457"/>
      <c r="O85" s="459" t="s">
        <v>329</v>
      </c>
      <c r="U85" s="460">
        <v>3.41</v>
      </c>
    </row>
    <row r="86">
      <c r="A86" s="457"/>
      <c r="L86" s="457"/>
      <c r="M86" s="457"/>
      <c r="N86" s="457"/>
      <c r="O86" s="459" t="s">
        <v>330</v>
      </c>
      <c r="U86" s="460">
        <v>35.18</v>
      </c>
    </row>
    <row r="87">
      <c r="A87" s="457"/>
      <c r="B87" s="459" t="s">
        <v>331</v>
      </c>
      <c r="H87" s="460">
        <v>0.0</v>
      </c>
      <c r="L87" s="457"/>
      <c r="M87" s="457"/>
      <c r="N87" s="457"/>
    </row>
    <row r="88">
      <c r="A88" s="457"/>
      <c r="L88" s="457"/>
      <c r="M88" s="457"/>
      <c r="N88" s="457"/>
      <c r="O88" s="459" t="s">
        <v>332</v>
      </c>
      <c r="U88" s="460">
        <v>3.11</v>
      </c>
    </row>
    <row r="89">
      <c r="A89" s="457"/>
      <c r="B89" s="459" t="s">
        <v>333</v>
      </c>
      <c r="H89" s="460">
        <v>0.0</v>
      </c>
      <c r="L89" s="457"/>
      <c r="M89" s="457"/>
      <c r="N89" s="457"/>
    </row>
    <row r="90">
      <c r="A90" s="457"/>
      <c r="L90" s="457"/>
      <c r="M90" s="457"/>
      <c r="N90" s="457"/>
      <c r="O90" s="459" t="s">
        <v>334</v>
      </c>
      <c r="U90" s="460">
        <v>172.39</v>
      </c>
    </row>
    <row r="91">
      <c r="A91" s="457"/>
      <c r="B91" s="459" t="s">
        <v>335</v>
      </c>
      <c r="H91" s="460">
        <v>0.0</v>
      </c>
      <c r="L91" s="457"/>
      <c r="M91" s="457"/>
      <c r="N91" s="457"/>
    </row>
    <row r="92">
      <c r="A92" s="457"/>
      <c r="L92" s="457"/>
      <c r="M92" s="457"/>
      <c r="N92" s="457"/>
      <c r="O92" s="459" t="s">
        <v>336</v>
      </c>
      <c r="U92" s="459"/>
    </row>
    <row r="93">
      <c r="A93" s="459" t="s">
        <v>337</v>
      </c>
      <c r="H93" s="459"/>
      <c r="L93" s="459"/>
      <c r="P93" s="459"/>
      <c r="S93" s="459"/>
    </row>
    <row r="94">
      <c r="A94" s="459" t="s">
        <v>199</v>
      </c>
      <c r="H94" s="460" t="s">
        <v>416</v>
      </c>
      <c r="L94" s="459"/>
      <c r="P94" s="459" t="s">
        <v>339</v>
      </c>
      <c r="S94" s="460" t="s">
        <v>417</v>
      </c>
    </row>
    <row r="95">
      <c r="A95" s="459" t="s">
        <v>341</v>
      </c>
      <c r="H95" s="460" t="s">
        <v>418</v>
      </c>
      <c r="L95" s="459"/>
      <c r="P95" s="459" t="s">
        <v>343</v>
      </c>
      <c r="S95" s="460" t="s">
        <v>419</v>
      </c>
    </row>
    <row r="96">
      <c r="A96" s="456" t="s">
        <v>127</v>
      </c>
      <c r="P96" s="457"/>
      <c r="Q96" s="457"/>
      <c r="R96" s="457"/>
      <c r="S96" s="457"/>
      <c r="T96" s="457"/>
      <c r="U96" s="457"/>
      <c r="V96" s="457"/>
    </row>
    <row r="97">
      <c r="A97" s="460" t="s">
        <v>128</v>
      </c>
      <c r="D97" s="459" t="s">
        <v>345</v>
      </c>
      <c r="G97" s="462" t="s">
        <v>346</v>
      </c>
      <c r="R97" s="463" t="s">
        <v>347</v>
      </c>
      <c r="T97" s="463" t="s">
        <v>348</v>
      </c>
      <c r="V97" s="460" t="s">
        <v>349</v>
      </c>
    </row>
    <row r="98">
      <c r="A98" s="460">
        <v>455.0</v>
      </c>
      <c r="D98" s="459" t="s">
        <v>350</v>
      </c>
      <c r="G98" s="464" t="str">
        <f>'Balanced Recipe Shopping List'!A15</f>
        <v>Rabbit, skinless, without organs, without fur</v>
      </c>
      <c r="R98" s="465">
        <v>455.0</v>
      </c>
      <c r="T98" s="465">
        <v>577.85</v>
      </c>
      <c r="V98" s="460">
        <v>17177.0</v>
      </c>
    </row>
    <row r="99">
      <c r="A99" s="460">
        <v>120.0</v>
      </c>
      <c r="D99" s="459" t="s">
        <v>350</v>
      </c>
      <c r="G99" s="466" t="str">
        <f>'Balanced Recipe Shopping List'!A16</f>
        <v>Rabbit Heart</v>
      </c>
      <c r="R99" s="467">
        <v>120.0</v>
      </c>
      <c r="T99" s="467">
        <v>168.0</v>
      </c>
      <c r="V99" s="460">
        <v>5175.0</v>
      </c>
    </row>
    <row r="100">
      <c r="A100" s="460">
        <v>30.0</v>
      </c>
      <c r="D100" s="459" t="s">
        <v>350</v>
      </c>
      <c r="G100" s="464" t="str">
        <f>'Balanced Recipe Shopping List'!A17</f>
        <v>Rabbit Liver</v>
      </c>
      <c r="R100" s="465">
        <v>30.0</v>
      </c>
      <c r="T100" s="465">
        <v>38.4</v>
      </c>
      <c r="V100" s="460">
        <v>5177.0</v>
      </c>
    </row>
    <row r="101">
      <c r="A101" s="460">
        <v>50.0</v>
      </c>
      <c r="D101" s="459" t="s">
        <v>350</v>
      </c>
      <c r="G101" s="466" t="str">
        <f>'Balanced Recipe Shopping List'!A18</f>
        <v>Sweet Potato, cooked</v>
      </c>
      <c r="R101" s="467">
        <v>50.0</v>
      </c>
      <c r="T101" s="467">
        <v>50.0</v>
      </c>
      <c r="V101" s="460">
        <v>11517.0</v>
      </c>
    </row>
    <row r="102">
      <c r="A102" s="460">
        <v>0.5</v>
      </c>
      <c r="D102" s="459" t="s">
        <v>420</v>
      </c>
      <c r="G102" s="464" t="str">
        <f>'Balanced Recipe Shopping List'!A28</f>
        <v>Carlson's Cod Liver Oil</v>
      </c>
      <c r="R102" s="465">
        <v>0.5</v>
      </c>
      <c r="T102" s="465">
        <v>20.0</v>
      </c>
      <c r="V102" s="460" t="s">
        <v>421</v>
      </c>
    </row>
    <row r="103">
      <c r="A103" s="460">
        <v>1.0</v>
      </c>
      <c r="D103" s="459" t="s">
        <v>422</v>
      </c>
      <c r="G103" s="466" t="str">
        <f>'Balanced Recipe Shopping List'!A27</f>
        <v>Coconut Oil, cold pressed</v>
      </c>
      <c r="R103" s="467">
        <v>13.6</v>
      </c>
      <c r="T103" s="467">
        <v>117.232</v>
      </c>
      <c r="V103" s="460">
        <v>4047.0</v>
      </c>
    </row>
    <row r="104">
      <c r="A104" s="460">
        <v>25.0</v>
      </c>
      <c r="D104" s="459" t="s">
        <v>350</v>
      </c>
      <c r="G104" s="464" t="str">
        <f>'Balanced Recipe Shopping List'!A19</f>
        <v>Green Beans, raw, chopped or pureed</v>
      </c>
      <c r="R104" s="465">
        <v>25.0</v>
      </c>
      <c r="T104" s="465">
        <v>7.75</v>
      </c>
      <c r="V104" s="460">
        <v>11052.0</v>
      </c>
    </row>
    <row r="105">
      <c r="A105" s="460">
        <v>4.0</v>
      </c>
      <c r="D105" s="459" t="s">
        <v>350</v>
      </c>
      <c r="G105" s="466" t="str">
        <f>'Balanced Recipe Shopping List'!A25</f>
        <v>Flax Seeds (fresh ground)</v>
      </c>
      <c r="R105" s="467">
        <v>4.0</v>
      </c>
      <c r="T105" s="467">
        <v>21.36</v>
      </c>
      <c r="V105" s="460">
        <v>12220.0</v>
      </c>
    </row>
    <row r="106">
      <c r="A106" s="460">
        <v>1.0</v>
      </c>
      <c r="D106" s="459" t="s">
        <v>423</v>
      </c>
      <c r="G106" s="464" t="str">
        <f>'Balanced Recipe Shopping List'!A36</f>
        <v>Solgar Iron Bisglycinate, 25mg</v>
      </c>
      <c r="R106" s="465">
        <v>1.0</v>
      </c>
      <c r="T106" s="465">
        <v>0.0</v>
      </c>
      <c r="V106" s="460" t="s">
        <v>424</v>
      </c>
    </row>
    <row r="107">
      <c r="A107" s="460">
        <v>1.0</v>
      </c>
      <c r="D107" s="459" t="s">
        <v>423</v>
      </c>
      <c r="G107" s="466" t="str">
        <f>'Balanced Recipe Shopping List'!A37</f>
        <v>Solgar Chelated Copper, 2.5mg</v>
      </c>
      <c r="R107" s="467">
        <v>1.0</v>
      </c>
      <c r="T107" s="467">
        <v>0.0</v>
      </c>
      <c r="V107" s="460" t="s">
        <v>425</v>
      </c>
    </row>
    <row r="108">
      <c r="A108" s="460">
        <v>1.0</v>
      </c>
      <c r="D108" s="459" t="s">
        <v>423</v>
      </c>
      <c r="G108" s="464" t="str">
        <f>'Balanced Recipe Shopping List'!A34</f>
        <v>Solgar Zinc Picolinate, 22mg</v>
      </c>
      <c r="R108" s="465">
        <f>A108</f>
        <v>1</v>
      </c>
      <c r="T108" s="465">
        <v>0.0</v>
      </c>
      <c r="V108" s="460" t="s">
        <v>426</v>
      </c>
    </row>
    <row r="109">
      <c r="A109" s="460">
        <v>0.25</v>
      </c>
      <c r="D109" s="459" t="s">
        <v>423</v>
      </c>
      <c r="G109" s="466" t="str">
        <f>'Balanced Recipe Shopping List'!A35</f>
        <v>Solgar Chelated Manganese, 8mg</v>
      </c>
      <c r="R109" s="467">
        <v>0.25</v>
      </c>
      <c r="T109" s="467">
        <v>0.0</v>
      </c>
      <c r="V109" s="460" t="s">
        <v>427</v>
      </c>
    </row>
    <row r="110">
      <c r="A110" s="460">
        <v>0.5</v>
      </c>
      <c r="D110" s="459" t="s">
        <v>350</v>
      </c>
      <c r="G110" s="464" t="str">
        <f>'Balanced Recipe Shopping List'!A20</f>
        <v>Mineral Salt, pink or grey </v>
      </c>
      <c r="R110" s="465">
        <v>0.5</v>
      </c>
      <c r="T110" s="465">
        <v>0.0</v>
      </c>
      <c r="V110" s="460">
        <v>2047.0</v>
      </c>
    </row>
    <row r="111">
      <c r="A111" s="456" t="s">
        <v>351</v>
      </c>
    </row>
    <row r="112">
      <c r="A112" s="468">
        <v>1.0</v>
      </c>
      <c r="C112" s="457" t="s">
        <v>352</v>
      </c>
    </row>
    <row r="113">
      <c r="A113" s="468">
        <v>2.0</v>
      </c>
      <c r="C113" s="457" t="s">
        <v>353</v>
      </c>
    </row>
    <row r="114">
      <c r="A114" s="468">
        <v>3.0</v>
      </c>
      <c r="C114" s="457" t="s">
        <v>354</v>
      </c>
    </row>
    <row r="115">
      <c r="A115" s="468">
        <v>4.0</v>
      </c>
      <c r="C115" s="457" t="s">
        <v>355</v>
      </c>
    </row>
    <row r="116">
      <c r="A116" s="468">
        <v>5.0</v>
      </c>
      <c r="C116" s="457" t="s">
        <v>356</v>
      </c>
    </row>
    <row r="117">
      <c r="A117" s="468">
        <v>6.0</v>
      </c>
      <c r="C117" s="457" t="s">
        <v>357</v>
      </c>
    </row>
    <row r="118">
      <c r="A118" s="468">
        <v>7.0</v>
      </c>
      <c r="C118" s="457" t="s">
        <v>358</v>
      </c>
    </row>
    <row r="119">
      <c r="A119" s="468">
        <v>8.0</v>
      </c>
      <c r="C119" s="457" t="s">
        <v>359</v>
      </c>
    </row>
    <row r="120">
      <c r="A120" s="468">
        <v>9.0</v>
      </c>
      <c r="C120" s="457" t="s">
        <v>360</v>
      </c>
    </row>
    <row r="121">
      <c r="A121" s="468">
        <v>10.0</v>
      </c>
      <c r="C121" s="457" t="s">
        <v>361</v>
      </c>
    </row>
    <row r="122">
      <c r="A122" s="459" t="s">
        <v>362</v>
      </c>
      <c r="E122" s="459"/>
    </row>
    <row r="123">
      <c r="A123" s="457"/>
      <c r="C123" s="457" t="s">
        <v>363</v>
      </c>
    </row>
    <row r="124">
      <c r="A124" s="469" t="s">
        <v>364</v>
      </c>
    </row>
  </sheetData>
  <mergeCells count="350">
    <mergeCell ref="A23:E23"/>
    <mergeCell ref="A24:E24"/>
    <mergeCell ref="F24:K24"/>
    <mergeCell ref="A25:E25"/>
    <mergeCell ref="F25:K25"/>
    <mergeCell ref="A26:E26"/>
    <mergeCell ref="F26:K26"/>
    <mergeCell ref="A27:E27"/>
    <mergeCell ref="F27:K27"/>
    <mergeCell ref="A28:E28"/>
    <mergeCell ref="F28:K28"/>
    <mergeCell ref="A29:E29"/>
    <mergeCell ref="F29:K29"/>
    <mergeCell ref="F30:K30"/>
    <mergeCell ref="A37:E37"/>
    <mergeCell ref="A38:E38"/>
    <mergeCell ref="A39:E39"/>
    <mergeCell ref="A40:E40"/>
    <mergeCell ref="A41:E41"/>
    <mergeCell ref="A42:E42"/>
    <mergeCell ref="A30:E30"/>
    <mergeCell ref="A31:E31"/>
    <mergeCell ref="A32:E32"/>
    <mergeCell ref="A33:E33"/>
    <mergeCell ref="A34:E34"/>
    <mergeCell ref="A35:E35"/>
    <mergeCell ref="A36:E36"/>
    <mergeCell ref="A1:C1"/>
    <mergeCell ref="D1:V1"/>
    <mergeCell ref="D2:V2"/>
    <mergeCell ref="D3:V3"/>
    <mergeCell ref="D4:V4"/>
    <mergeCell ref="A5:C5"/>
    <mergeCell ref="D5:V5"/>
    <mergeCell ref="A6:C6"/>
    <mergeCell ref="D6:V6"/>
    <mergeCell ref="A7:C7"/>
    <mergeCell ref="D7:V7"/>
    <mergeCell ref="A8:C8"/>
    <mergeCell ref="D8:V8"/>
    <mergeCell ref="E9:V10"/>
    <mergeCell ref="B19:V19"/>
    <mergeCell ref="F20:K20"/>
    <mergeCell ref="F21:K21"/>
    <mergeCell ref="F22:K22"/>
    <mergeCell ref="F23:K23"/>
    <mergeCell ref="D11:V11"/>
    <mergeCell ref="D12:V12"/>
    <mergeCell ref="D13:V13"/>
    <mergeCell ref="D14:V14"/>
    <mergeCell ref="D15:V15"/>
    <mergeCell ref="D16:V16"/>
    <mergeCell ref="I18:V18"/>
    <mergeCell ref="A9:C9"/>
    <mergeCell ref="A11:C11"/>
    <mergeCell ref="A14:C14"/>
    <mergeCell ref="A17:G18"/>
    <mergeCell ref="A20:E20"/>
    <mergeCell ref="A21:E21"/>
    <mergeCell ref="A22:E22"/>
    <mergeCell ref="F31:K31"/>
    <mergeCell ref="F32:K32"/>
    <mergeCell ref="F33:K33"/>
    <mergeCell ref="F34:K34"/>
    <mergeCell ref="F35:K35"/>
    <mergeCell ref="M36:P36"/>
    <mergeCell ref="Q36:V36"/>
    <mergeCell ref="F36:L36"/>
    <mergeCell ref="F37:L37"/>
    <mergeCell ref="M37:P37"/>
    <mergeCell ref="Q37:V37"/>
    <mergeCell ref="F38:L38"/>
    <mergeCell ref="M38:P38"/>
    <mergeCell ref="Q38:V38"/>
    <mergeCell ref="A48:J48"/>
    <mergeCell ref="K48:L48"/>
    <mergeCell ref="M48:T48"/>
    <mergeCell ref="U48:V48"/>
    <mergeCell ref="I49:K49"/>
    <mergeCell ref="O49:T49"/>
    <mergeCell ref="U49:V49"/>
    <mergeCell ref="A49:H49"/>
    <mergeCell ref="A50:H50"/>
    <mergeCell ref="I50:K50"/>
    <mergeCell ref="O50:T50"/>
    <mergeCell ref="U50:V50"/>
    <mergeCell ref="A51:H51"/>
    <mergeCell ref="I51:K51"/>
    <mergeCell ref="P52:T52"/>
    <mergeCell ref="O53:T53"/>
    <mergeCell ref="P51:T51"/>
    <mergeCell ref="U51:V51"/>
    <mergeCell ref="A52:H52"/>
    <mergeCell ref="I52:K52"/>
    <mergeCell ref="U52:V52"/>
    <mergeCell ref="I53:K53"/>
    <mergeCell ref="U53:V53"/>
    <mergeCell ref="O55:T55"/>
    <mergeCell ref="U55:V55"/>
    <mergeCell ref="A53:H53"/>
    <mergeCell ref="A54:H54"/>
    <mergeCell ref="I54:K54"/>
    <mergeCell ref="O54:T54"/>
    <mergeCell ref="U54:V54"/>
    <mergeCell ref="A55:H55"/>
    <mergeCell ref="I55:K55"/>
    <mergeCell ref="O60:T60"/>
    <mergeCell ref="O61:T61"/>
    <mergeCell ref="O59:T59"/>
    <mergeCell ref="U59:V59"/>
    <mergeCell ref="A60:H60"/>
    <mergeCell ref="I60:K60"/>
    <mergeCell ref="U60:V60"/>
    <mergeCell ref="I61:K61"/>
    <mergeCell ref="U61:V61"/>
    <mergeCell ref="O90:T91"/>
    <mergeCell ref="U90:V91"/>
    <mergeCell ref="B84:G86"/>
    <mergeCell ref="B87:G88"/>
    <mergeCell ref="H87:K88"/>
    <mergeCell ref="O88:T89"/>
    <mergeCell ref="U88:V89"/>
    <mergeCell ref="B89:G90"/>
    <mergeCell ref="H89:K90"/>
    <mergeCell ref="P93:R93"/>
    <mergeCell ref="S93:V93"/>
    <mergeCell ref="B91:G92"/>
    <mergeCell ref="H91:K92"/>
    <mergeCell ref="O92:T92"/>
    <mergeCell ref="U92:V92"/>
    <mergeCell ref="A93:G93"/>
    <mergeCell ref="H93:K93"/>
    <mergeCell ref="L93:O93"/>
    <mergeCell ref="M41:P41"/>
    <mergeCell ref="Q41:V41"/>
    <mergeCell ref="F39:L39"/>
    <mergeCell ref="M39:P39"/>
    <mergeCell ref="Q39:V39"/>
    <mergeCell ref="F40:L40"/>
    <mergeCell ref="M40:P40"/>
    <mergeCell ref="Q40:V40"/>
    <mergeCell ref="F41:L41"/>
    <mergeCell ref="F42:L42"/>
    <mergeCell ref="M42:P42"/>
    <mergeCell ref="Q42:V42"/>
    <mergeCell ref="A43:I43"/>
    <mergeCell ref="J43:M43"/>
    <mergeCell ref="N43:R43"/>
    <mergeCell ref="S43:V43"/>
    <mergeCell ref="A44:J44"/>
    <mergeCell ref="K44:L44"/>
    <mergeCell ref="M44:T44"/>
    <mergeCell ref="U44:V44"/>
    <mergeCell ref="K45:L45"/>
    <mergeCell ref="M45:T45"/>
    <mergeCell ref="U45:V45"/>
    <mergeCell ref="M47:T47"/>
    <mergeCell ref="U47:V47"/>
    <mergeCell ref="A45:J45"/>
    <mergeCell ref="A46:J46"/>
    <mergeCell ref="K46:L46"/>
    <mergeCell ref="M46:T46"/>
    <mergeCell ref="U46:V46"/>
    <mergeCell ref="A47:J47"/>
    <mergeCell ref="K47:L47"/>
    <mergeCell ref="L95:O95"/>
    <mergeCell ref="P95:R95"/>
    <mergeCell ref="A99:C99"/>
    <mergeCell ref="A100:C100"/>
    <mergeCell ref="D100:F100"/>
    <mergeCell ref="A101:C101"/>
    <mergeCell ref="D101:F101"/>
    <mergeCell ref="A102:C102"/>
    <mergeCell ref="D102:F102"/>
    <mergeCell ref="D109:F109"/>
    <mergeCell ref="D110:F110"/>
    <mergeCell ref="A105:C105"/>
    <mergeCell ref="D105:F105"/>
    <mergeCell ref="A106:C106"/>
    <mergeCell ref="D106:F106"/>
    <mergeCell ref="A107:C107"/>
    <mergeCell ref="D107:F107"/>
    <mergeCell ref="D108:F108"/>
    <mergeCell ref="A116:B116"/>
    <mergeCell ref="A117:B117"/>
    <mergeCell ref="A118:B118"/>
    <mergeCell ref="A119:B119"/>
    <mergeCell ref="A120:B120"/>
    <mergeCell ref="A121:B121"/>
    <mergeCell ref="A122:D122"/>
    <mergeCell ref="A123:B123"/>
    <mergeCell ref="A108:C108"/>
    <mergeCell ref="A109:C109"/>
    <mergeCell ref="A110:C110"/>
    <mergeCell ref="A112:B112"/>
    <mergeCell ref="A113:B113"/>
    <mergeCell ref="A114:B114"/>
    <mergeCell ref="A115:B115"/>
    <mergeCell ref="A104:C104"/>
    <mergeCell ref="D104:F104"/>
    <mergeCell ref="G104:Q104"/>
    <mergeCell ref="R104:S104"/>
    <mergeCell ref="T104:U104"/>
    <mergeCell ref="R105:S105"/>
    <mergeCell ref="T105:U105"/>
    <mergeCell ref="G105:Q105"/>
    <mergeCell ref="G106:Q106"/>
    <mergeCell ref="R106:S106"/>
    <mergeCell ref="T106:U106"/>
    <mergeCell ref="G107:Q107"/>
    <mergeCell ref="R107:S107"/>
    <mergeCell ref="T107:U107"/>
    <mergeCell ref="G108:Q108"/>
    <mergeCell ref="R108:S108"/>
    <mergeCell ref="T108:U108"/>
    <mergeCell ref="G109:Q109"/>
    <mergeCell ref="R109:S109"/>
    <mergeCell ref="T109:U109"/>
    <mergeCell ref="G110:Q110"/>
    <mergeCell ref="R110:S110"/>
    <mergeCell ref="T110:U110"/>
    <mergeCell ref="A111:V111"/>
    <mergeCell ref="C112:V112"/>
    <mergeCell ref="C113:V113"/>
    <mergeCell ref="C114:V114"/>
    <mergeCell ref="C115:V115"/>
    <mergeCell ref="A94:G94"/>
    <mergeCell ref="H94:K94"/>
    <mergeCell ref="L94:O94"/>
    <mergeCell ref="P94:R94"/>
    <mergeCell ref="S94:V94"/>
    <mergeCell ref="H95:K95"/>
    <mergeCell ref="S95:V95"/>
    <mergeCell ref="A95:G95"/>
    <mergeCell ref="A96:O96"/>
    <mergeCell ref="A97:C97"/>
    <mergeCell ref="D97:F97"/>
    <mergeCell ref="G97:Q97"/>
    <mergeCell ref="R97:S97"/>
    <mergeCell ref="T97:U97"/>
    <mergeCell ref="A98:C98"/>
    <mergeCell ref="D98:F98"/>
    <mergeCell ref="G98:Q98"/>
    <mergeCell ref="R98:S98"/>
    <mergeCell ref="T98:U98"/>
    <mergeCell ref="D99:F99"/>
    <mergeCell ref="T99:U99"/>
    <mergeCell ref="G99:Q99"/>
    <mergeCell ref="G102:Q102"/>
    <mergeCell ref="R102:S102"/>
    <mergeCell ref="T102:U102"/>
    <mergeCell ref="G101:Q101"/>
    <mergeCell ref="R99:S99"/>
    <mergeCell ref="R100:S100"/>
    <mergeCell ref="T100:U100"/>
    <mergeCell ref="R101:S101"/>
    <mergeCell ref="T101:U101"/>
    <mergeCell ref="G100:Q100"/>
    <mergeCell ref="A103:C103"/>
    <mergeCell ref="D103:F103"/>
    <mergeCell ref="G103:Q103"/>
    <mergeCell ref="R103:S103"/>
    <mergeCell ref="T103:U103"/>
    <mergeCell ref="C123:V123"/>
    <mergeCell ref="A124:V124"/>
    <mergeCell ref="C116:V116"/>
    <mergeCell ref="C117:V117"/>
    <mergeCell ref="C118:V118"/>
    <mergeCell ref="C119:V119"/>
    <mergeCell ref="C120:V120"/>
    <mergeCell ref="C121:V121"/>
    <mergeCell ref="E122:V122"/>
    <mergeCell ref="A56:H56"/>
    <mergeCell ref="I56:K56"/>
    <mergeCell ref="P56:T56"/>
    <mergeCell ref="U56:V56"/>
    <mergeCell ref="I57:K57"/>
    <mergeCell ref="P57:T57"/>
    <mergeCell ref="U57:V57"/>
    <mergeCell ref="A57:H57"/>
    <mergeCell ref="A58:H58"/>
    <mergeCell ref="I58:K58"/>
    <mergeCell ref="O58:T58"/>
    <mergeCell ref="U58:V58"/>
    <mergeCell ref="A59:H59"/>
    <mergeCell ref="I59:K59"/>
    <mergeCell ref="O63:T63"/>
    <mergeCell ref="U63:V63"/>
    <mergeCell ref="A61:H61"/>
    <mergeCell ref="A62:H62"/>
    <mergeCell ref="I62:K62"/>
    <mergeCell ref="O62:T62"/>
    <mergeCell ref="U62:V62"/>
    <mergeCell ref="A63:H63"/>
    <mergeCell ref="I63:K63"/>
    <mergeCell ref="A64:H64"/>
    <mergeCell ref="I64:K64"/>
    <mergeCell ref="O64:T64"/>
    <mergeCell ref="U64:V64"/>
    <mergeCell ref="I65:K65"/>
    <mergeCell ref="O65:T65"/>
    <mergeCell ref="U65:V65"/>
    <mergeCell ref="A65:H65"/>
    <mergeCell ref="A66:H66"/>
    <mergeCell ref="I66:K66"/>
    <mergeCell ref="O66:T66"/>
    <mergeCell ref="U66:V66"/>
    <mergeCell ref="O67:T67"/>
    <mergeCell ref="U67:V67"/>
    <mergeCell ref="O68:T68"/>
    <mergeCell ref="O70:T71"/>
    <mergeCell ref="U70:V71"/>
    <mergeCell ref="A68:H68"/>
    <mergeCell ref="I68:K68"/>
    <mergeCell ref="U68:V68"/>
    <mergeCell ref="A69:H69"/>
    <mergeCell ref="I69:K69"/>
    <mergeCell ref="A70:H70"/>
    <mergeCell ref="I70:K70"/>
    <mergeCell ref="A73:H74"/>
    <mergeCell ref="A75:H76"/>
    <mergeCell ref="I75:K76"/>
    <mergeCell ref="A71:H72"/>
    <mergeCell ref="I71:K72"/>
    <mergeCell ref="O72:T73"/>
    <mergeCell ref="U72:V73"/>
    <mergeCell ref="I73:K74"/>
    <mergeCell ref="O74:T75"/>
    <mergeCell ref="U74:V75"/>
    <mergeCell ref="O78:T79"/>
    <mergeCell ref="O80:T81"/>
    <mergeCell ref="U80:V81"/>
    <mergeCell ref="O76:T77"/>
    <mergeCell ref="U76:V77"/>
    <mergeCell ref="A77:H78"/>
    <mergeCell ref="I77:K78"/>
    <mergeCell ref="U78:V79"/>
    <mergeCell ref="A79:H80"/>
    <mergeCell ref="I79:K80"/>
    <mergeCell ref="O83:T84"/>
    <mergeCell ref="O85:T85"/>
    <mergeCell ref="O86:T87"/>
    <mergeCell ref="U86:V87"/>
    <mergeCell ref="A81:H82"/>
    <mergeCell ref="I81:K82"/>
    <mergeCell ref="O82:T82"/>
    <mergeCell ref="U82:V82"/>
    <mergeCell ref="U83:V84"/>
    <mergeCell ref="H84:K86"/>
    <mergeCell ref="U85:V85"/>
  </mergeCells>
  <conditionalFormatting sqref="D1:D16 E1:H8 E11:H16">
    <cfRule type="containsBlanks" dxfId="6" priority="1">
      <formula>LEN(TRIM(D1))=0</formula>
    </cfRule>
  </conditionalFormatting>
  <dataValidations>
    <dataValidation type="list" allowBlank="1" sqref="D1:D8">
      <formula1>"Ronny LeJeune,Michelle Lowe"</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25"/>
    <col customWidth="1" min="3" max="3" width="8.25"/>
    <col customWidth="1" min="4" max="4" width="11.38"/>
    <col customWidth="1" min="5" max="5" width="3.25"/>
    <col customWidth="1" min="6" max="7" width="1.63"/>
    <col customWidth="1" min="8" max="8" width="3.25"/>
    <col customWidth="1" min="9" max="9" width="8.88"/>
    <col customWidth="1" min="10" max="10" width="13.88"/>
    <col customWidth="1" min="11" max="13" width="3.25"/>
    <col customWidth="1" min="14" max="14" width="22.63"/>
    <col customWidth="1" min="15" max="17" width="3.25"/>
    <col customWidth="1" min="18" max="18" width="22.63"/>
    <col customWidth="1" min="19" max="19" width="3.25"/>
  </cols>
  <sheetData>
    <row r="1">
      <c r="A1" s="201" t="s">
        <v>428</v>
      </c>
    </row>
    <row r="2" ht="15.75" customHeight="1"/>
    <row r="3">
      <c r="A3" s="625" t="s">
        <v>429</v>
      </c>
      <c r="B3" s="626"/>
      <c r="C3" s="626"/>
      <c r="D3" s="626"/>
      <c r="E3" s="627"/>
      <c r="F3" s="628"/>
      <c r="H3" s="629" t="s">
        <v>430</v>
      </c>
    </row>
    <row r="4" ht="87.75" customHeight="1">
      <c r="A4" s="630" t="s">
        <v>431</v>
      </c>
      <c r="B4" s="481"/>
      <c r="C4" s="481"/>
      <c r="D4" s="481"/>
      <c r="E4" s="482"/>
      <c r="F4" s="628"/>
    </row>
    <row r="5">
      <c r="A5" s="631" t="s">
        <v>432</v>
      </c>
      <c r="F5" s="632"/>
      <c r="G5" s="632"/>
      <c r="H5" s="632"/>
      <c r="I5" s="632"/>
      <c r="J5" s="632"/>
      <c r="K5" s="632"/>
      <c r="L5" s="632"/>
      <c r="M5" s="632"/>
      <c r="N5" s="632"/>
      <c r="O5" s="632"/>
      <c r="P5" s="632"/>
      <c r="Q5" s="632"/>
      <c r="R5" s="632"/>
      <c r="S5" s="632"/>
    </row>
    <row r="6">
      <c r="A6" s="168"/>
      <c r="B6" s="168"/>
      <c r="C6" s="168"/>
      <c r="D6" s="168"/>
      <c r="I6" s="633"/>
      <c r="J6" s="633"/>
      <c r="N6" s="168"/>
      <c r="R6" s="168"/>
      <c r="S6" s="168"/>
    </row>
    <row r="7">
      <c r="A7" s="168"/>
      <c r="H7" s="634"/>
      <c r="I7" s="635"/>
      <c r="J7" s="635"/>
      <c r="K7" s="636"/>
      <c r="M7" s="168"/>
      <c r="R7" s="168"/>
    </row>
    <row r="8">
      <c r="H8" s="637"/>
      <c r="K8" s="638"/>
    </row>
    <row r="9">
      <c r="H9" s="637"/>
      <c r="K9" s="638"/>
    </row>
    <row r="10">
      <c r="H10" s="637"/>
      <c r="K10" s="638"/>
    </row>
    <row r="11">
      <c r="H11" s="637"/>
      <c r="K11" s="638"/>
    </row>
    <row r="12">
      <c r="H12" s="637"/>
      <c r="K12" s="638"/>
    </row>
    <row r="13">
      <c r="H13" s="637"/>
      <c r="K13" s="638"/>
    </row>
    <row r="14" ht="23.25" customHeight="1">
      <c r="H14" s="639"/>
      <c r="I14" s="640"/>
      <c r="J14" s="640"/>
      <c r="K14" s="641"/>
    </row>
    <row r="15" ht="26.25" customHeight="1">
      <c r="A15" s="642" t="s">
        <v>433</v>
      </c>
      <c r="F15" s="643"/>
      <c r="G15" s="643"/>
      <c r="H15" s="644" t="s">
        <v>434</v>
      </c>
      <c r="I15" s="645"/>
      <c r="J15" s="645"/>
      <c r="K15" s="646"/>
      <c r="L15" s="643"/>
      <c r="M15" s="642" t="s">
        <v>435</v>
      </c>
      <c r="P15" s="643"/>
      <c r="Q15" s="642" t="s">
        <v>436</v>
      </c>
    </row>
    <row r="16">
      <c r="A16" s="647" t="s">
        <v>437</v>
      </c>
      <c r="F16" s="648"/>
      <c r="G16" s="648"/>
      <c r="H16" s="649" t="s">
        <v>438</v>
      </c>
      <c r="L16" s="648"/>
      <c r="M16" s="647" t="s">
        <v>437</v>
      </c>
      <c r="P16" s="648"/>
      <c r="Q16" s="647" t="s">
        <v>437</v>
      </c>
    </row>
    <row r="17">
      <c r="A17" s="650" t="s">
        <v>439</v>
      </c>
      <c r="F17" s="651"/>
      <c r="G17" s="651"/>
      <c r="H17" s="652" t="s">
        <v>440</v>
      </c>
      <c r="L17" s="651"/>
      <c r="M17" s="653" t="s">
        <v>441</v>
      </c>
      <c r="P17" s="651"/>
      <c r="Q17" s="653" t="s">
        <v>442</v>
      </c>
    </row>
    <row r="18">
      <c r="A18" s="654" t="s">
        <v>443</v>
      </c>
      <c r="F18" s="655"/>
      <c r="G18" s="655"/>
      <c r="H18" s="654" t="s">
        <v>444</v>
      </c>
      <c r="L18" s="655"/>
      <c r="M18" s="654" t="s">
        <v>445</v>
      </c>
      <c r="P18" s="655"/>
      <c r="Q18" s="654" t="s">
        <v>446</v>
      </c>
    </row>
    <row r="19">
      <c r="A19" s="656"/>
      <c r="B19" s="656"/>
      <c r="C19" s="656"/>
      <c r="D19" s="656"/>
      <c r="E19" s="656"/>
      <c r="F19" s="656"/>
      <c r="G19" s="656"/>
      <c r="H19" s="656"/>
      <c r="I19" s="656"/>
      <c r="J19" s="656"/>
      <c r="K19" s="656"/>
      <c r="L19" s="656"/>
      <c r="M19" s="656"/>
      <c r="N19" s="656"/>
      <c r="O19" s="656"/>
      <c r="P19" s="656"/>
      <c r="Q19" s="656"/>
      <c r="R19" s="656"/>
      <c r="S19" s="656"/>
    </row>
    <row r="20">
      <c r="A20" s="657"/>
      <c r="B20" s="657"/>
      <c r="C20" s="657"/>
      <c r="D20" s="657"/>
      <c r="E20" s="657"/>
      <c r="F20" s="657"/>
      <c r="G20" s="657"/>
      <c r="H20" s="657"/>
      <c r="I20" s="657"/>
      <c r="J20" s="657"/>
      <c r="K20" s="657"/>
      <c r="L20" s="657"/>
      <c r="M20" s="657"/>
      <c r="N20" s="657"/>
      <c r="O20" s="657"/>
      <c r="P20" s="657"/>
      <c r="Q20" s="657"/>
      <c r="R20" s="657"/>
      <c r="S20" s="657"/>
    </row>
    <row r="21" ht="15.75" customHeight="1">
      <c r="A21" s="658" t="s">
        <v>447</v>
      </c>
      <c r="B21" s="659"/>
      <c r="C21" s="659"/>
      <c r="D21" s="659"/>
      <c r="E21" s="659"/>
      <c r="F21" s="659"/>
      <c r="G21" s="659"/>
      <c r="H21" s="659"/>
      <c r="I21" s="659"/>
      <c r="J21" s="659"/>
      <c r="K21" s="660"/>
      <c r="L21" s="661"/>
      <c r="M21" s="662" t="s">
        <v>448</v>
      </c>
    </row>
    <row r="22" ht="15.75" customHeight="1">
      <c r="A22" s="663"/>
      <c r="K22" s="664"/>
      <c r="L22" s="661"/>
    </row>
    <row r="23" ht="15.75" customHeight="1">
      <c r="A23" s="665"/>
      <c r="B23" s="666"/>
      <c r="C23" s="666"/>
      <c r="D23" s="666"/>
      <c r="E23" s="666"/>
      <c r="F23" s="666"/>
      <c r="G23" s="666"/>
      <c r="H23" s="666"/>
      <c r="I23" s="666"/>
      <c r="J23" s="666"/>
      <c r="K23" s="667"/>
      <c r="L23" s="661"/>
    </row>
    <row r="24">
      <c r="A24" s="668" t="s">
        <v>449</v>
      </c>
      <c r="B24" s="659"/>
      <c r="C24" s="659"/>
      <c r="D24" s="659"/>
      <c r="E24" s="659"/>
      <c r="F24" s="659"/>
      <c r="G24" s="659"/>
      <c r="H24" s="659"/>
      <c r="I24" s="659"/>
      <c r="J24" s="659"/>
      <c r="K24" s="660"/>
      <c r="M24" s="669" t="s">
        <v>450</v>
      </c>
      <c r="N24" s="670"/>
      <c r="O24" s="670"/>
      <c r="P24" s="669"/>
      <c r="Q24" s="669" t="s">
        <v>451</v>
      </c>
      <c r="R24" s="670"/>
      <c r="S24" s="670"/>
    </row>
    <row r="25">
      <c r="A25" s="663"/>
      <c r="K25" s="664"/>
      <c r="L25" s="671"/>
      <c r="M25" s="672" t="s">
        <v>452</v>
      </c>
      <c r="N25" s="673"/>
      <c r="O25" s="673"/>
      <c r="P25" s="672"/>
      <c r="Q25" s="672" t="s">
        <v>453</v>
      </c>
      <c r="R25" s="673"/>
      <c r="S25" s="673"/>
    </row>
    <row r="26">
      <c r="A26" s="663"/>
      <c r="K26" s="664"/>
      <c r="L26" s="671"/>
      <c r="M26" s="674" t="s">
        <v>454</v>
      </c>
      <c r="N26" s="675"/>
      <c r="O26" s="675"/>
      <c r="P26" s="674"/>
      <c r="Q26" s="674" t="s">
        <v>455</v>
      </c>
      <c r="R26" s="675"/>
      <c r="S26" s="675"/>
    </row>
    <row r="27">
      <c r="A27" s="663"/>
      <c r="K27" s="664"/>
      <c r="L27" s="671"/>
      <c r="M27" s="672" t="s">
        <v>456</v>
      </c>
      <c r="N27" s="673"/>
      <c r="O27" s="673"/>
      <c r="P27" s="672"/>
      <c r="Q27" s="672" t="s">
        <v>457</v>
      </c>
      <c r="R27" s="673"/>
      <c r="S27" s="673"/>
    </row>
    <row r="28">
      <c r="A28" s="663"/>
      <c r="K28" s="664"/>
      <c r="L28" s="671"/>
      <c r="M28" s="674" t="s">
        <v>458</v>
      </c>
      <c r="N28" s="675"/>
      <c r="O28" s="675"/>
      <c r="P28" s="674"/>
      <c r="Q28" s="674" t="s">
        <v>459</v>
      </c>
      <c r="R28" s="675"/>
      <c r="S28" s="675"/>
    </row>
    <row r="29">
      <c r="A29" s="663"/>
      <c r="K29" s="664"/>
      <c r="L29" s="671"/>
      <c r="M29" s="676"/>
    </row>
    <row r="30">
      <c r="A30" s="665"/>
      <c r="B30" s="666"/>
      <c r="C30" s="666"/>
      <c r="D30" s="666"/>
      <c r="E30" s="666"/>
      <c r="F30" s="666"/>
      <c r="G30" s="666"/>
      <c r="H30" s="666"/>
      <c r="I30" s="666"/>
      <c r="J30" s="666"/>
      <c r="K30" s="667"/>
      <c r="L30" s="671"/>
    </row>
    <row r="31" ht="15.75" customHeight="1">
      <c r="L31" s="677"/>
    </row>
    <row r="32" ht="15.75" customHeight="1">
      <c r="A32" s="678" t="s">
        <v>460</v>
      </c>
      <c r="B32" s="626"/>
      <c r="C32" s="626"/>
      <c r="D32" s="626"/>
      <c r="E32" s="626"/>
      <c r="F32" s="626"/>
      <c r="G32" s="626"/>
      <c r="H32" s="626"/>
      <c r="I32" s="626"/>
      <c r="J32" s="626"/>
      <c r="K32" s="627"/>
      <c r="L32" s="677"/>
    </row>
    <row r="33" ht="15.75" customHeight="1">
      <c r="A33" s="679"/>
      <c r="K33" s="680"/>
      <c r="L33" s="677"/>
    </row>
    <row r="34" ht="15.75" customHeight="1">
      <c r="A34" s="679"/>
      <c r="K34" s="680"/>
      <c r="L34" s="677"/>
    </row>
    <row r="35" ht="15.75" customHeight="1">
      <c r="A35" s="681" t="s">
        <v>461</v>
      </c>
      <c r="K35" s="680"/>
      <c r="L35" s="677"/>
    </row>
    <row r="36" ht="15.75" customHeight="1">
      <c r="A36" s="679"/>
      <c r="K36" s="680"/>
      <c r="L36" s="677"/>
    </row>
    <row r="37" ht="15.75" customHeight="1">
      <c r="A37" s="679"/>
      <c r="K37" s="680"/>
      <c r="L37" s="677"/>
    </row>
    <row r="38" ht="15.75" customHeight="1">
      <c r="A38" s="682"/>
      <c r="B38" s="683"/>
      <c r="C38" s="683"/>
      <c r="D38" s="683"/>
      <c r="E38" s="683"/>
      <c r="F38" s="683"/>
      <c r="G38" s="683"/>
      <c r="H38" s="683"/>
      <c r="I38" s="683"/>
      <c r="J38" s="683"/>
      <c r="K38" s="684"/>
      <c r="L38" s="677"/>
    </row>
    <row r="39" ht="15.75" customHeight="1">
      <c r="A39" s="685" t="s">
        <v>462</v>
      </c>
      <c r="K39" s="680"/>
      <c r="L39" s="677"/>
    </row>
    <row r="40" ht="15.75" customHeight="1">
      <c r="A40" s="686" t="s">
        <v>463</v>
      </c>
      <c r="F40" s="687"/>
      <c r="G40" s="688"/>
      <c r="H40" s="689" t="s">
        <v>464</v>
      </c>
      <c r="K40" s="690"/>
      <c r="L40" s="677"/>
    </row>
    <row r="41" ht="15.75" customHeight="1">
      <c r="A41" s="691" t="s">
        <v>465</v>
      </c>
      <c r="B41" s="692"/>
      <c r="C41" s="692"/>
      <c r="D41" s="693" t="s">
        <v>135</v>
      </c>
      <c r="E41" s="692"/>
      <c r="F41" s="692"/>
      <c r="G41" s="694" t="s">
        <v>466</v>
      </c>
      <c r="H41" s="692"/>
      <c r="I41" s="692"/>
      <c r="J41" s="693" t="s">
        <v>135</v>
      </c>
      <c r="K41" s="695"/>
      <c r="L41" s="677"/>
    </row>
    <row r="42" ht="15.75" customHeight="1">
      <c r="A42" s="696" t="s">
        <v>467</v>
      </c>
      <c r="B42" s="697"/>
      <c r="C42" s="697"/>
      <c r="D42" s="698" t="s">
        <v>136</v>
      </c>
      <c r="E42" s="697"/>
      <c r="F42" s="697"/>
      <c r="G42" s="699" t="s">
        <v>468</v>
      </c>
      <c r="H42" s="697"/>
      <c r="I42" s="697"/>
      <c r="J42" s="698" t="s">
        <v>136</v>
      </c>
      <c r="K42" s="700"/>
      <c r="L42" s="677"/>
    </row>
    <row r="43" ht="15.75" customHeight="1">
      <c r="A43" s="701" t="s">
        <v>469</v>
      </c>
      <c r="B43" s="692"/>
      <c r="C43" s="692"/>
      <c r="D43" s="702" t="s">
        <v>470</v>
      </c>
      <c r="E43" s="692"/>
      <c r="F43" s="692"/>
      <c r="G43" s="703" t="s">
        <v>471</v>
      </c>
      <c r="H43" s="692"/>
      <c r="I43" s="692"/>
      <c r="J43" s="704" t="s">
        <v>470</v>
      </c>
      <c r="K43" s="695"/>
      <c r="L43" s="677"/>
    </row>
    <row r="44" ht="15.75" customHeight="1">
      <c r="A44" s="705" t="s">
        <v>472</v>
      </c>
      <c r="B44" s="706"/>
      <c r="C44" s="706"/>
      <c r="D44" s="707" t="s">
        <v>134</v>
      </c>
      <c r="E44" s="706"/>
      <c r="F44" s="706"/>
      <c r="G44" s="708" t="s">
        <v>473</v>
      </c>
      <c r="H44" s="706"/>
      <c r="I44" s="706"/>
      <c r="J44" s="707" t="s">
        <v>134</v>
      </c>
      <c r="K44" s="709"/>
      <c r="L44" s="677"/>
    </row>
    <row r="45" ht="15.75" customHeight="1">
      <c r="A45" s="685" t="s">
        <v>474</v>
      </c>
      <c r="K45" s="680"/>
      <c r="L45" s="677"/>
    </row>
    <row r="46" ht="15.75" customHeight="1">
      <c r="A46" s="710" t="s">
        <v>475</v>
      </c>
      <c r="B46" s="626"/>
      <c r="C46" s="626"/>
      <c r="D46" s="626"/>
      <c r="E46" s="626"/>
      <c r="F46" s="626"/>
      <c r="G46" s="626"/>
      <c r="H46" s="626"/>
      <c r="I46" s="626"/>
      <c r="J46" s="626"/>
      <c r="K46" s="627"/>
      <c r="L46" s="677"/>
    </row>
    <row r="47" ht="15.75" customHeight="1">
      <c r="A47" s="679"/>
      <c r="K47" s="680"/>
      <c r="L47" s="711"/>
    </row>
    <row r="48" ht="15.75" customHeight="1">
      <c r="A48" s="679"/>
      <c r="K48" s="680"/>
      <c r="L48" s="711"/>
    </row>
    <row r="49" ht="15.75" customHeight="1">
      <c r="A49" s="712" t="s">
        <v>476</v>
      </c>
      <c r="B49" s="713" t="s">
        <v>477</v>
      </c>
      <c r="C49" s="714"/>
      <c r="D49" s="715"/>
      <c r="E49" s="715"/>
      <c r="F49" s="715"/>
      <c r="G49" s="715"/>
      <c r="H49" s="716" t="s">
        <v>476</v>
      </c>
      <c r="I49" s="713" t="s">
        <v>478</v>
      </c>
      <c r="J49" s="715"/>
      <c r="K49" s="717"/>
      <c r="L49" s="679"/>
      <c r="M49" s="718" t="s">
        <v>479</v>
      </c>
      <c r="N49" s="719"/>
      <c r="O49" s="719"/>
      <c r="P49" s="719"/>
      <c r="Q49" s="719"/>
      <c r="R49" s="719"/>
      <c r="S49" s="719"/>
    </row>
    <row r="50" ht="15.75" customHeight="1">
      <c r="A50" s="720" t="s">
        <v>476</v>
      </c>
      <c r="B50" s="721" t="s">
        <v>480</v>
      </c>
      <c r="C50" s="722"/>
      <c r="D50" s="723"/>
      <c r="E50" s="723"/>
      <c r="F50" s="723"/>
      <c r="G50" s="723"/>
      <c r="H50" s="724" t="s">
        <v>476</v>
      </c>
      <c r="I50" s="721" t="s">
        <v>481</v>
      </c>
      <c r="J50" s="723"/>
      <c r="K50" s="725"/>
      <c r="L50" s="679"/>
    </row>
  </sheetData>
  <mergeCells count="63">
    <mergeCell ref="M21:S23"/>
    <mergeCell ref="M24:O24"/>
    <mergeCell ref="Q24:S24"/>
    <mergeCell ref="M27:O27"/>
    <mergeCell ref="Q27:S27"/>
    <mergeCell ref="M28:O28"/>
    <mergeCell ref="Q28:S28"/>
    <mergeCell ref="M29:S48"/>
    <mergeCell ref="M49:S50"/>
    <mergeCell ref="A17:E17"/>
    <mergeCell ref="A18:E18"/>
    <mergeCell ref="H18:K18"/>
    <mergeCell ref="M18:O18"/>
    <mergeCell ref="Q18:S18"/>
    <mergeCell ref="A21:K23"/>
    <mergeCell ref="A24:K30"/>
    <mergeCell ref="G41:I41"/>
    <mergeCell ref="J41:K41"/>
    <mergeCell ref="A32:K34"/>
    <mergeCell ref="A35:K38"/>
    <mergeCell ref="A39:K39"/>
    <mergeCell ref="A40:E40"/>
    <mergeCell ref="H40:K40"/>
    <mergeCell ref="A41:C41"/>
    <mergeCell ref="D41:F41"/>
    <mergeCell ref="A43:C43"/>
    <mergeCell ref="A44:C44"/>
    <mergeCell ref="D44:F44"/>
    <mergeCell ref="G44:I44"/>
    <mergeCell ref="J44:K44"/>
    <mergeCell ref="A45:K45"/>
    <mergeCell ref="A46:K48"/>
    <mergeCell ref="A42:C42"/>
    <mergeCell ref="D42:F42"/>
    <mergeCell ref="G42:I42"/>
    <mergeCell ref="J42:K42"/>
    <mergeCell ref="D43:F43"/>
    <mergeCell ref="G43:I43"/>
    <mergeCell ref="J43:K43"/>
    <mergeCell ref="M7:O14"/>
    <mergeCell ref="R7:S14"/>
    <mergeCell ref="H7:K14"/>
    <mergeCell ref="H15:K15"/>
    <mergeCell ref="M15:O15"/>
    <mergeCell ref="Q15:S15"/>
    <mergeCell ref="A1:S1"/>
    <mergeCell ref="A3:E3"/>
    <mergeCell ref="H3:S4"/>
    <mergeCell ref="A4:E4"/>
    <mergeCell ref="A5:E5"/>
    <mergeCell ref="A7:E14"/>
    <mergeCell ref="A15:E15"/>
    <mergeCell ref="A16:E16"/>
    <mergeCell ref="H16:K16"/>
    <mergeCell ref="M16:O16"/>
    <mergeCell ref="Q16:S16"/>
    <mergeCell ref="H17:K17"/>
    <mergeCell ref="M17:O17"/>
    <mergeCell ref="Q17:S17"/>
    <mergeCell ref="M25:O25"/>
    <mergeCell ref="Q25:S25"/>
    <mergeCell ref="M26:O26"/>
    <mergeCell ref="Q26:S26"/>
  </mergeCells>
  <drawing r:id="rId1"/>
  <tableParts count="1">
    <tablePart r:id="rId3"/>
  </tableParts>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8"/>
    <col customWidth="1" min="2" max="7" width="20.75"/>
  </cols>
  <sheetData>
    <row r="1">
      <c r="A1" s="201" t="s">
        <v>482</v>
      </c>
    </row>
    <row r="2" ht="15.75" customHeight="1">
      <c r="A2" s="726"/>
    </row>
    <row r="3">
      <c r="A3" s="727">
        <v>1.0</v>
      </c>
      <c r="B3" s="728" t="s">
        <v>483</v>
      </c>
    </row>
    <row r="4">
      <c r="A4" s="726"/>
      <c r="B4" s="729" t="str">
        <f>IF('Unbalanced PMR Recipe'!K5="Adult Maintenance","The recipe(s) are formulated to provide all essential nutrients required for Adult Maintenance. Therefore, the recipe(s) can be fed indefinitely unless a medical condition arises that requires a therapeutic diet adjustment.",if('Unbalanced PMR Recipe'!K5="Growth &amp; Development","The recipe(s) are formulated to provide all essential nutrients requires for Growth &amp; Development. Therefore, the recipe(s) are suitable for use until estimated adult weight is achieved and maintained for 2 months without gaining or loosing weight. Once e"&amp;"stimated adult weight is achieved and maintained, begin feeding the recipes for Adult Maintenance.",IF('Unbalanced PMR Recipe'!K5="All Life Stage","The recipe(s) are formulated to provide all essential nutrients required for Growth and Adult Maintenance. Therefore, the recipe(s) can be fed indefinitely unless a medical condition arises that requires a therapeutic diet adjustment.","")))</f>
        <v>The recipe(s) are formulated to provide all essential nutrients required for Growth and Adult Maintenance. Therefore, the recipe(s) can be fed indefinitely unless a medical condition arises that requires a therapeutic diet adjustment.</v>
      </c>
    </row>
    <row r="5" ht="15.75" customHeight="1">
      <c r="A5" s="726"/>
      <c r="B5" s="284"/>
    </row>
    <row r="6">
      <c r="A6" s="727">
        <v>2.0</v>
      </c>
      <c r="B6" s="728" t="s">
        <v>484</v>
      </c>
    </row>
    <row r="7">
      <c r="A7" s="726"/>
      <c r="B7" s="729" t="s">
        <v>485</v>
      </c>
    </row>
    <row r="8">
      <c r="A8" s="726"/>
      <c r="B8" s="730" t="s">
        <v>486</v>
      </c>
    </row>
    <row r="9" ht="15.75" customHeight="1">
      <c r="A9" s="726"/>
      <c r="B9" s="284"/>
    </row>
    <row r="10">
      <c r="A10" s="727">
        <v>3.0</v>
      </c>
      <c r="B10" s="731" t="s">
        <v>487</v>
      </c>
    </row>
    <row r="11">
      <c r="A11" s="726"/>
      <c r="B11" s="729" t="str">
        <f>CONCATENATE("The recipes are formulated to ",proper('Unbalanced PMR Recipe'!L3),"'s daily calorie requirements (", 'Unbalanced PMR Recipe'!M6,"kcal). They represent the total amount of food that needs to be consumed within 24 hours. If multiple meals are fed throughout the day, separate the ingredients into individual feeding portions. Ingredients do not need to be evenly divided among each meal"&amp;" – ie: RMB + Seafood + Organs in the AM; and Muscle Meat + Supplements in the PM.")</f>
        <v>The recipes are formulated to Pet Name's daily calorie requirements (kcal). They represent the total amount of food that needs to be consumed within 24 hours. If multiple meals are fed throughout the day, separate the ingredients into individual feeding portions. Ingredients do not need to be evenly divided among each meal – ie: RMB + Seafood + Organs in the AM; and Muscle Meat + Supplements in the PM.</v>
      </c>
    </row>
    <row r="12" ht="15.75" customHeight="1">
      <c r="A12" s="732"/>
      <c r="B12" s="733"/>
    </row>
    <row r="13">
      <c r="A13" s="727">
        <v>4.0</v>
      </c>
      <c r="B13" s="728" t="s">
        <v>488</v>
      </c>
      <c r="C13" s="728"/>
      <c r="D13" s="728"/>
      <c r="E13" s="728"/>
      <c r="F13" s="728"/>
      <c r="G13" s="728"/>
    </row>
    <row r="14">
      <c r="A14" s="734"/>
      <c r="B14" s="729" t="s">
        <v>489</v>
      </c>
    </row>
    <row r="15">
      <c r="A15" s="734"/>
      <c r="B15" s="735"/>
      <c r="C15" s="735"/>
      <c r="D15" s="735"/>
      <c r="E15" s="735"/>
      <c r="F15" s="735"/>
      <c r="G15" s="735"/>
    </row>
    <row r="16">
      <c r="A16" s="727">
        <v>5.0</v>
      </c>
      <c r="B16" s="728" t="s">
        <v>490</v>
      </c>
    </row>
    <row r="17">
      <c r="A17" s="732"/>
      <c r="B17" s="729" t="s">
        <v>491</v>
      </c>
    </row>
    <row r="18">
      <c r="A18" s="736"/>
      <c r="B18" s="737"/>
      <c r="C18" s="737"/>
      <c r="D18" s="738"/>
      <c r="E18" s="739"/>
      <c r="F18" s="740"/>
      <c r="G18" s="740"/>
    </row>
    <row r="19">
      <c r="A19" s="736"/>
      <c r="B19" s="741" t="str">
        <f>'Unbalanced PMR Recipe Data'!D3</f>
        <v>All Life Stage Recipe Formulation Adjustment</v>
      </c>
      <c r="C19" s="742"/>
      <c r="D19" s="742"/>
      <c r="E19" s="742"/>
      <c r="F19" s="742"/>
      <c r="G19" s="743">
        <f>'Unbalanced PMR Recipe Data'!D4</f>
        <v>44.99</v>
      </c>
    </row>
    <row r="20">
      <c r="A20" s="736"/>
      <c r="B20" s="744" t="s">
        <v>492</v>
      </c>
    </row>
  </sheetData>
  <mergeCells count="17">
    <mergeCell ref="A1:G1"/>
    <mergeCell ref="A2:G2"/>
    <mergeCell ref="B3:G3"/>
    <mergeCell ref="B4:G4"/>
    <mergeCell ref="B5:G5"/>
    <mergeCell ref="B6:G6"/>
    <mergeCell ref="B7:G7"/>
    <mergeCell ref="B17:G17"/>
    <mergeCell ref="B19:F19"/>
    <mergeCell ref="B20:G20"/>
    <mergeCell ref="B8:G8"/>
    <mergeCell ref="B9:G9"/>
    <mergeCell ref="B10:G10"/>
    <mergeCell ref="B11:G11"/>
    <mergeCell ref="B12:G12"/>
    <mergeCell ref="B14:G14"/>
    <mergeCell ref="B16:G16"/>
  </mergeCells>
  <hyperlinks>
    <hyperlink r:id="rId1" ref="B8"/>
  </hyperlinks>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showGridLines="0" workbookViewId="0"/>
  </sheetViews>
  <sheetFormatPr customHeight="1" defaultColWidth="12.63" defaultRowHeight="15.75"/>
  <cols>
    <col customWidth="1" min="1" max="1" width="33.0"/>
    <col customWidth="1" min="2" max="2" width="7.63"/>
    <col customWidth="1" min="3" max="3" width="9.13"/>
  </cols>
  <sheetData>
    <row r="1">
      <c r="A1" s="745" t="s">
        <v>346</v>
      </c>
      <c r="B1" s="746" t="s">
        <v>493</v>
      </c>
      <c r="C1" s="747" t="s">
        <v>494</v>
      </c>
    </row>
    <row r="2">
      <c r="A2" s="748" t="s">
        <v>495</v>
      </c>
      <c r="B2" s="749">
        <v>0.8333</v>
      </c>
      <c r="C2" s="750">
        <f t="shared" ref="C2:C61" si="1">sum(100%-B2)</f>
        <v>0.1667</v>
      </c>
    </row>
    <row r="3">
      <c r="A3" s="748" t="s">
        <v>496</v>
      </c>
      <c r="B3" s="749">
        <v>0.8333</v>
      </c>
      <c r="C3" s="750">
        <f t="shared" si="1"/>
        <v>0.1667</v>
      </c>
    </row>
    <row r="4">
      <c r="A4" s="748" t="s">
        <v>497</v>
      </c>
      <c r="B4" s="749">
        <v>0.7143</v>
      </c>
      <c r="C4" s="750">
        <f t="shared" si="1"/>
        <v>0.2857</v>
      </c>
    </row>
    <row r="5">
      <c r="A5" s="748" t="s">
        <v>498</v>
      </c>
      <c r="B5" s="749">
        <v>0.7143</v>
      </c>
      <c r="C5" s="750">
        <f t="shared" si="1"/>
        <v>0.2857</v>
      </c>
    </row>
    <row r="6">
      <c r="A6" s="748" t="s">
        <v>499</v>
      </c>
      <c r="B6" s="749">
        <v>0.7143</v>
      </c>
      <c r="C6" s="750">
        <f t="shared" si="1"/>
        <v>0.2857</v>
      </c>
    </row>
    <row r="7">
      <c r="A7" s="748" t="s">
        <v>500</v>
      </c>
      <c r="B7" s="751">
        <f>B17</f>
        <v>0.8</v>
      </c>
      <c r="C7" s="750">
        <f t="shared" si="1"/>
        <v>0.2</v>
      </c>
    </row>
    <row r="8">
      <c r="A8" s="748" t="s">
        <v>501</v>
      </c>
      <c r="B8" s="749">
        <v>0.7692</v>
      </c>
      <c r="C8" s="750">
        <f t="shared" si="1"/>
        <v>0.2308</v>
      </c>
    </row>
    <row r="9">
      <c r="A9" s="748" t="s">
        <v>502</v>
      </c>
      <c r="B9" s="749">
        <v>0.7692</v>
      </c>
      <c r="C9" s="750">
        <f t="shared" si="1"/>
        <v>0.2308</v>
      </c>
    </row>
    <row r="10">
      <c r="A10" s="748" t="s">
        <v>503</v>
      </c>
      <c r="B10" s="749">
        <v>0.7692</v>
      </c>
      <c r="C10" s="750">
        <f t="shared" si="1"/>
        <v>0.2308</v>
      </c>
    </row>
    <row r="11">
      <c r="A11" s="748" t="s">
        <v>504</v>
      </c>
      <c r="B11" s="749">
        <v>0.7692</v>
      </c>
      <c r="C11" s="750">
        <f t="shared" si="1"/>
        <v>0.2308</v>
      </c>
    </row>
    <row r="12">
      <c r="A12" s="748" t="s">
        <v>505</v>
      </c>
      <c r="B12" s="749">
        <v>0.7692</v>
      </c>
      <c r="C12" s="750">
        <f t="shared" si="1"/>
        <v>0.2308</v>
      </c>
    </row>
    <row r="13">
      <c r="A13" s="748" t="s">
        <v>506</v>
      </c>
      <c r="B13" s="749">
        <v>0.85</v>
      </c>
      <c r="C13" s="750">
        <f t="shared" si="1"/>
        <v>0.15</v>
      </c>
    </row>
    <row r="14">
      <c r="A14" s="748" t="s">
        <v>507</v>
      </c>
      <c r="B14" s="749">
        <f>B2</f>
        <v>0.8333</v>
      </c>
      <c r="C14" s="750">
        <f t="shared" si="1"/>
        <v>0.1667</v>
      </c>
    </row>
    <row r="15">
      <c r="A15" s="748" t="s">
        <v>508</v>
      </c>
      <c r="B15" s="749">
        <f>B4</f>
        <v>0.7143</v>
      </c>
      <c r="C15" s="750">
        <f t="shared" si="1"/>
        <v>0.2857</v>
      </c>
    </row>
    <row r="16">
      <c r="A16" s="748" t="s">
        <v>509</v>
      </c>
      <c r="B16" s="749">
        <v>0.8547</v>
      </c>
      <c r="C16" s="750">
        <f t="shared" si="1"/>
        <v>0.1453</v>
      </c>
    </row>
    <row r="17">
      <c r="A17" s="748" t="s">
        <v>510</v>
      </c>
      <c r="B17" s="749">
        <v>0.8</v>
      </c>
      <c r="C17" s="750">
        <f t="shared" si="1"/>
        <v>0.2</v>
      </c>
    </row>
    <row r="18">
      <c r="A18" s="748" t="s">
        <v>511</v>
      </c>
      <c r="B18" s="749">
        <v>0.8696</v>
      </c>
      <c r="C18" s="750">
        <f t="shared" si="1"/>
        <v>0.1304</v>
      </c>
    </row>
    <row r="19">
      <c r="A19" s="748" t="s">
        <v>512</v>
      </c>
      <c r="B19" s="749">
        <v>0.8696</v>
      </c>
      <c r="C19" s="750">
        <f t="shared" si="1"/>
        <v>0.1304</v>
      </c>
    </row>
    <row r="20">
      <c r="A20" s="748" t="s">
        <v>513</v>
      </c>
      <c r="B20" s="749">
        <v>0.88</v>
      </c>
      <c r="C20" s="750">
        <f t="shared" si="1"/>
        <v>0.12</v>
      </c>
    </row>
    <row r="21">
      <c r="A21" s="748" t="s">
        <v>514</v>
      </c>
      <c r="B21" s="751">
        <f>B16</f>
        <v>0.8547</v>
      </c>
      <c r="C21" s="750">
        <f t="shared" si="1"/>
        <v>0.1453</v>
      </c>
    </row>
    <row r="22">
      <c r="A22" s="748" t="s">
        <v>515</v>
      </c>
      <c r="B22" s="749">
        <v>0.87</v>
      </c>
      <c r="C22" s="750">
        <f t="shared" si="1"/>
        <v>0.13</v>
      </c>
    </row>
    <row r="23">
      <c r="A23" s="748" t="s">
        <v>516</v>
      </c>
      <c r="B23" s="751">
        <f>B17</f>
        <v>0.8</v>
      </c>
      <c r="C23" s="750">
        <f t="shared" si="1"/>
        <v>0.2</v>
      </c>
    </row>
    <row r="24">
      <c r="A24" s="748" t="s">
        <v>517</v>
      </c>
      <c r="B24" s="749">
        <v>0.8333</v>
      </c>
      <c r="C24" s="750">
        <f t="shared" si="1"/>
        <v>0.1667</v>
      </c>
    </row>
    <row r="25">
      <c r="A25" s="748" t="s">
        <v>518</v>
      </c>
      <c r="B25" s="749">
        <v>0.87</v>
      </c>
      <c r="C25" s="750">
        <f t="shared" si="1"/>
        <v>0.13</v>
      </c>
    </row>
    <row r="26">
      <c r="A26" s="748" t="s">
        <v>519</v>
      </c>
      <c r="B26" s="749">
        <v>0.8</v>
      </c>
      <c r="C26" s="750">
        <f t="shared" si="1"/>
        <v>0.2</v>
      </c>
    </row>
    <row r="27">
      <c r="A27" s="748" t="s">
        <v>520</v>
      </c>
      <c r="B27" s="749">
        <v>0.79</v>
      </c>
      <c r="C27" s="750">
        <f t="shared" si="1"/>
        <v>0.21</v>
      </c>
    </row>
    <row r="28">
      <c r="A28" s="748" t="s">
        <v>521</v>
      </c>
      <c r="B28" s="749">
        <v>0.77</v>
      </c>
      <c r="C28" s="750">
        <f t="shared" si="1"/>
        <v>0.23</v>
      </c>
    </row>
    <row r="29">
      <c r="A29" s="748" t="s">
        <v>522</v>
      </c>
      <c r="B29" s="749">
        <v>0.7407</v>
      </c>
      <c r="C29" s="750">
        <f t="shared" si="1"/>
        <v>0.2593</v>
      </c>
    </row>
    <row r="30">
      <c r="A30" s="748" t="s">
        <v>523</v>
      </c>
      <c r="B30" s="749">
        <v>0.6667</v>
      </c>
      <c r="C30" s="750">
        <f t="shared" si="1"/>
        <v>0.3333</v>
      </c>
    </row>
    <row r="31">
      <c r="A31" s="748" t="s">
        <v>524</v>
      </c>
      <c r="B31" s="749">
        <v>0.6667</v>
      </c>
      <c r="C31" s="750">
        <f t="shared" si="1"/>
        <v>0.3333</v>
      </c>
    </row>
    <row r="32">
      <c r="A32" s="748" t="s">
        <v>525</v>
      </c>
      <c r="B32" s="749">
        <v>0.6667</v>
      </c>
      <c r="C32" s="750">
        <f t="shared" si="1"/>
        <v>0.3333</v>
      </c>
    </row>
    <row r="33">
      <c r="A33" s="748" t="s">
        <v>526</v>
      </c>
      <c r="B33" s="751">
        <f>B29</f>
        <v>0.7407</v>
      </c>
      <c r="C33" s="750">
        <f t="shared" si="1"/>
        <v>0.2593</v>
      </c>
    </row>
    <row r="34">
      <c r="A34" s="748" t="s">
        <v>527</v>
      </c>
      <c r="B34" s="751">
        <f>B17</f>
        <v>0.8</v>
      </c>
      <c r="C34" s="750">
        <f t="shared" si="1"/>
        <v>0.2</v>
      </c>
    </row>
    <row r="35">
      <c r="A35" s="748" t="s">
        <v>528</v>
      </c>
      <c r="B35" s="749">
        <v>0.8333</v>
      </c>
      <c r="C35" s="750">
        <f t="shared" si="1"/>
        <v>0.1667</v>
      </c>
    </row>
    <row r="36">
      <c r="A36" s="748" t="s">
        <v>529</v>
      </c>
      <c r="B36" s="751">
        <f t="shared" ref="B36:B37" si="2">B29</f>
        <v>0.7407</v>
      </c>
      <c r="C36" s="750">
        <f t="shared" si="1"/>
        <v>0.2593</v>
      </c>
    </row>
    <row r="37">
      <c r="A37" s="748" t="s">
        <v>530</v>
      </c>
      <c r="B37" s="751">
        <f t="shared" si="2"/>
        <v>0.6667</v>
      </c>
      <c r="C37" s="750">
        <f t="shared" si="1"/>
        <v>0.3333</v>
      </c>
    </row>
    <row r="38">
      <c r="A38" s="748" t="s">
        <v>531</v>
      </c>
      <c r="B38" s="751">
        <f>B36</f>
        <v>0.7407</v>
      </c>
      <c r="C38" s="750">
        <f t="shared" si="1"/>
        <v>0.2593</v>
      </c>
    </row>
    <row r="39">
      <c r="A39" s="748" t="s">
        <v>532</v>
      </c>
      <c r="B39" s="751">
        <f>B17</f>
        <v>0.8</v>
      </c>
      <c r="C39" s="750">
        <f t="shared" si="1"/>
        <v>0.2</v>
      </c>
    </row>
    <row r="40">
      <c r="A40" s="748" t="s">
        <v>533</v>
      </c>
      <c r="B40" s="749">
        <v>0.85</v>
      </c>
      <c r="C40" s="750">
        <f t="shared" si="1"/>
        <v>0.15</v>
      </c>
    </row>
    <row r="41">
      <c r="A41" s="748" t="s">
        <v>534</v>
      </c>
      <c r="B41" s="749">
        <v>0.89</v>
      </c>
      <c r="C41" s="750">
        <f t="shared" si="1"/>
        <v>0.11</v>
      </c>
    </row>
    <row r="42">
      <c r="A42" s="748" t="s">
        <v>535</v>
      </c>
      <c r="B42" s="751">
        <f t="shared" ref="B42:B43" si="3">B29</f>
        <v>0.7407</v>
      </c>
      <c r="C42" s="750">
        <f t="shared" si="1"/>
        <v>0.2593</v>
      </c>
    </row>
    <row r="43">
      <c r="A43" s="748" t="s">
        <v>536</v>
      </c>
      <c r="B43" s="751">
        <f t="shared" si="3"/>
        <v>0.6667</v>
      </c>
      <c r="C43" s="750">
        <f t="shared" si="1"/>
        <v>0.3333</v>
      </c>
    </row>
    <row r="44">
      <c r="A44" s="748" t="s">
        <v>537</v>
      </c>
      <c r="B44" s="751">
        <f>B42</f>
        <v>0.7407</v>
      </c>
      <c r="C44" s="750">
        <f t="shared" si="1"/>
        <v>0.2593</v>
      </c>
    </row>
    <row r="45">
      <c r="A45" s="748" t="s">
        <v>538</v>
      </c>
      <c r="B45" s="751">
        <f>B17</f>
        <v>0.8</v>
      </c>
      <c r="C45" s="750">
        <f t="shared" si="1"/>
        <v>0.2</v>
      </c>
    </row>
    <row r="46">
      <c r="A46" s="748" t="s">
        <v>539</v>
      </c>
      <c r="B46" s="749">
        <v>0.8547</v>
      </c>
      <c r="C46" s="750">
        <f t="shared" si="1"/>
        <v>0.1453</v>
      </c>
    </row>
    <row r="47">
      <c r="A47" s="748" t="s">
        <v>540</v>
      </c>
      <c r="B47" s="749">
        <v>5.0</v>
      </c>
      <c r="C47" s="750">
        <f t="shared" si="1"/>
        <v>-4</v>
      </c>
    </row>
    <row r="48">
      <c r="A48" s="748" t="s">
        <v>541</v>
      </c>
      <c r="B48" s="749">
        <v>2.8571</v>
      </c>
      <c r="C48" s="750">
        <f t="shared" si="1"/>
        <v>-1.8571</v>
      </c>
    </row>
    <row r="49">
      <c r="A49" s="748" t="s">
        <v>542</v>
      </c>
      <c r="B49" s="749">
        <v>2.8571</v>
      </c>
      <c r="C49" s="750">
        <f t="shared" si="1"/>
        <v>-1.8571</v>
      </c>
    </row>
    <row r="50">
      <c r="A50" s="748" t="s">
        <v>543</v>
      </c>
      <c r="B50" s="749">
        <v>2.8571</v>
      </c>
      <c r="C50" s="750">
        <f t="shared" si="1"/>
        <v>-1.8571</v>
      </c>
    </row>
    <row r="51">
      <c r="A51" s="748" t="s">
        <v>395</v>
      </c>
      <c r="B51" s="749">
        <v>0.63</v>
      </c>
      <c r="C51" s="750">
        <f t="shared" si="1"/>
        <v>0.37</v>
      </c>
    </row>
    <row r="52">
      <c r="A52" s="748" t="s">
        <v>544</v>
      </c>
      <c r="B52" s="749">
        <v>0.63</v>
      </c>
      <c r="C52" s="750">
        <f t="shared" si="1"/>
        <v>0.37</v>
      </c>
    </row>
    <row r="53">
      <c r="A53" s="748" t="s">
        <v>545</v>
      </c>
      <c r="B53" s="749">
        <v>0.84</v>
      </c>
      <c r="C53" s="750">
        <f t="shared" si="1"/>
        <v>0.16</v>
      </c>
    </row>
    <row r="54">
      <c r="A54" s="748" t="s">
        <v>546</v>
      </c>
      <c r="B54" s="749">
        <v>0.91</v>
      </c>
      <c r="C54" s="750">
        <f t="shared" si="1"/>
        <v>0.09</v>
      </c>
    </row>
    <row r="55">
      <c r="A55" s="748" t="s">
        <v>547</v>
      </c>
      <c r="B55" s="749">
        <v>0.68</v>
      </c>
      <c r="C55" s="750">
        <f t="shared" si="1"/>
        <v>0.32</v>
      </c>
    </row>
    <row r="56">
      <c r="A56" s="748" t="s">
        <v>548</v>
      </c>
      <c r="B56" s="749">
        <v>0.91</v>
      </c>
      <c r="C56" s="750">
        <f t="shared" si="1"/>
        <v>0.09</v>
      </c>
    </row>
    <row r="57">
      <c r="A57" s="748" t="s">
        <v>549</v>
      </c>
      <c r="B57" s="749">
        <v>0.72</v>
      </c>
      <c r="C57" s="750">
        <f t="shared" si="1"/>
        <v>0.28</v>
      </c>
    </row>
    <row r="58">
      <c r="A58" s="748" t="s">
        <v>550</v>
      </c>
      <c r="B58" s="749">
        <v>0.72</v>
      </c>
      <c r="C58" s="750">
        <f t="shared" si="1"/>
        <v>0.28</v>
      </c>
    </row>
    <row r="59">
      <c r="A59" s="748" t="s">
        <v>551</v>
      </c>
      <c r="B59" s="749">
        <v>0.47</v>
      </c>
      <c r="C59" s="750">
        <f t="shared" si="1"/>
        <v>0.53</v>
      </c>
    </row>
    <row r="60">
      <c r="A60" s="748" t="s">
        <v>552</v>
      </c>
      <c r="B60" s="749">
        <v>0.47</v>
      </c>
      <c r="C60" s="750">
        <f t="shared" si="1"/>
        <v>0.53</v>
      </c>
    </row>
    <row r="61">
      <c r="A61" s="748" t="s">
        <v>553</v>
      </c>
      <c r="B61" s="749">
        <v>0.47</v>
      </c>
      <c r="C61" s="750">
        <f t="shared" si="1"/>
        <v>0.53</v>
      </c>
    </row>
    <row r="62">
      <c r="A62" s="752"/>
      <c r="B62" s="751"/>
      <c r="C62" s="753"/>
    </row>
    <row r="63">
      <c r="A63" s="752"/>
      <c r="B63" s="751"/>
      <c r="C63" s="753"/>
    </row>
    <row r="64">
      <c r="A64" s="752"/>
      <c r="B64" s="751"/>
      <c r="C64" s="753"/>
    </row>
    <row r="65">
      <c r="A65" s="752"/>
      <c r="B65" s="751"/>
      <c r="C65" s="753"/>
    </row>
    <row r="66">
      <c r="A66" s="752"/>
      <c r="B66" s="751"/>
      <c r="C66" s="753"/>
    </row>
    <row r="67">
      <c r="A67" s="752"/>
      <c r="B67" s="751"/>
      <c r="C67" s="753"/>
    </row>
    <row r="68">
      <c r="A68" s="752"/>
      <c r="B68" s="751"/>
      <c r="C68" s="753"/>
    </row>
    <row r="69">
      <c r="A69" s="752"/>
      <c r="B69" s="751"/>
      <c r="C69" s="753"/>
    </row>
    <row r="70">
      <c r="A70" s="752"/>
      <c r="B70" s="751"/>
      <c r="C70" s="753"/>
    </row>
    <row r="71">
      <c r="A71" s="752"/>
      <c r="B71" s="751"/>
      <c r="C71" s="753"/>
    </row>
    <row r="72">
      <c r="A72" s="752"/>
      <c r="B72" s="751"/>
      <c r="C72" s="753"/>
    </row>
    <row r="73">
      <c r="A73" s="752"/>
      <c r="B73" s="751"/>
      <c r="C73" s="753"/>
    </row>
    <row r="74">
      <c r="A74" s="752"/>
      <c r="B74" s="751"/>
      <c r="C74" s="753"/>
    </row>
    <row r="75">
      <c r="A75" s="752"/>
      <c r="B75" s="751"/>
      <c r="C75" s="753"/>
    </row>
    <row r="76">
      <c r="A76" s="752"/>
      <c r="B76" s="751"/>
      <c r="C76" s="753"/>
    </row>
    <row r="77">
      <c r="A77" s="752"/>
      <c r="B77" s="751"/>
      <c r="C77" s="753"/>
    </row>
    <row r="78">
      <c r="A78" s="752"/>
      <c r="B78" s="751"/>
      <c r="C78" s="753"/>
    </row>
    <row r="79">
      <c r="A79" s="752"/>
      <c r="B79" s="751"/>
      <c r="C79" s="753"/>
    </row>
    <row r="80">
      <c r="A80" s="752"/>
      <c r="B80" s="751"/>
      <c r="C80" s="753"/>
    </row>
    <row r="81">
      <c r="A81" s="752"/>
      <c r="B81" s="751"/>
      <c r="C81" s="753"/>
    </row>
    <row r="82">
      <c r="A82" s="752"/>
      <c r="B82" s="751"/>
      <c r="C82" s="753"/>
    </row>
    <row r="83">
      <c r="A83" s="752"/>
      <c r="B83" s="751"/>
      <c r="C83" s="753"/>
    </row>
    <row r="84">
      <c r="A84" s="752"/>
      <c r="B84" s="751"/>
      <c r="C84" s="753"/>
    </row>
    <row r="85">
      <c r="A85" s="752"/>
      <c r="B85" s="751"/>
      <c r="C85" s="753"/>
    </row>
    <row r="86">
      <c r="A86" s="752"/>
      <c r="B86" s="751"/>
      <c r="C86" s="753"/>
    </row>
    <row r="87">
      <c r="A87" s="752"/>
      <c r="B87" s="751"/>
      <c r="C87" s="753"/>
    </row>
    <row r="88">
      <c r="A88" s="752"/>
      <c r="B88" s="751"/>
      <c r="C88" s="753"/>
    </row>
    <row r="89">
      <c r="A89" s="752"/>
      <c r="B89" s="751"/>
      <c r="C89" s="753"/>
    </row>
    <row r="90">
      <c r="A90" s="752"/>
      <c r="B90" s="751"/>
      <c r="C90" s="753"/>
    </row>
    <row r="91">
      <c r="A91" s="752"/>
      <c r="B91" s="751"/>
      <c r="C91" s="753"/>
    </row>
    <row r="92">
      <c r="A92" s="752"/>
      <c r="B92" s="751"/>
      <c r="C92" s="753"/>
    </row>
    <row r="93">
      <c r="A93" s="752"/>
      <c r="B93" s="751"/>
      <c r="C93" s="753"/>
    </row>
    <row r="94">
      <c r="A94" s="752"/>
      <c r="B94" s="751"/>
      <c r="C94" s="753"/>
    </row>
    <row r="95">
      <c r="A95" s="752"/>
      <c r="B95" s="751"/>
      <c r="C95" s="753"/>
    </row>
    <row r="96">
      <c r="A96" s="752"/>
      <c r="B96" s="751"/>
      <c r="C96" s="753"/>
    </row>
    <row r="97">
      <c r="A97" s="752"/>
      <c r="B97" s="751"/>
      <c r="C97" s="753"/>
    </row>
    <row r="98">
      <c r="A98" s="752"/>
      <c r="B98" s="751"/>
      <c r="C98" s="753"/>
    </row>
    <row r="99">
      <c r="A99" s="752"/>
      <c r="B99" s="751"/>
      <c r="C99" s="753"/>
    </row>
    <row r="100">
      <c r="A100" s="752"/>
      <c r="B100" s="751"/>
      <c r="C100" s="753"/>
    </row>
    <row r="101">
      <c r="A101" s="752"/>
      <c r="B101" s="751"/>
      <c r="C101" s="753"/>
    </row>
    <row r="102">
      <c r="A102" s="752"/>
      <c r="B102" s="751"/>
      <c r="C102" s="753"/>
    </row>
    <row r="103">
      <c r="A103" s="752"/>
      <c r="B103" s="751"/>
      <c r="C103" s="753"/>
    </row>
    <row r="104">
      <c r="A104" s="752"/>
      <c r="B104" s="751"/>
      <c r="C104" s="753"/>
    </row>
    <row r="105">
      <c r="A105" s="752"/>
      <c r="B105" s="751"/>
      <c r="C105" s="753"/>
    </row>
    <row r="106">
      <c r="A106" s="752"/>
      <c r="B106" s="751"/>
      <c r="C106" s="753"/>
    </row>
    <row r="107">
      <c r="A107" s="752"/>
      <c r="B107" s="751"/>
      <c r="C107" s="753"/>
    </row>
    <row r="108">
      <c r="A108" s="752"/>
      <c r="B108" s="751"/>
      <c r="C108" s="753"/>
    </row>
    <row r="109">
      <c r="A109" s="752"/>
      <c r="B109" s="751"/>
      <c r="C109" s="753"/>
    </row>
    <row r="110">
      <c r="A110" s="752"/>
      <c r="B110" s="751"/>
      <c r="C110" s="753"/>
    </row>
    <row r="111">
      <c r="A111" s="752"/>
      <c r="B111" s="751"/>
      <c r="C111" s="753"/>
    </row>
    <row r="112">
      <c r="A112" s="752"/>
      <c r="B112" s="751"/>
      <c r="C112" s="753"/>
    </row>
    <row r="113">
      <c r="A113" s="752"/>
      <c r="B113" s="751"/>
      <c r="C113" s="753"/>
    </row>
    <row r="114">
      <c r="A114" s="752"/>
      <c r="B114" s="751"/>
      <c r="C114" s="753"/>
    </row>
    <row r="115">
      <c r="A115" s="752"/>
      <c r="B115" s="751"/>
      <c r="C115" s="753"/>
    </row>
    <row r="116">
      <c r="A116" s="752"/>
      <c r="B116" s="751"/>
      <c r="C116" s="753"/>
    </row>
    <row r="117">
      <c r="A117" s="752"/>
      <c r="B117" s="751"/>
      <c r="C117" s="753"/>
    </row>
    <row r="118">
      <c r="A118" s="752"/>
      <c r="B118" s="751"/>
      <c r="C118" s="753"/>
    </row>
    <row r="119">
      <c r="A119" s="752"/>
      <c r="B119" s="751"/>
      <c r="C119" s="753"/>
    </row>
    <row r="120">
      <c r="A120" s="752"/>
      <c r="B120" s="751"/>
      <c r="C120" s="753"/>
    </row>
    <row r="121">
      <c r="A121" s="752"/>
      <c r="B121" s="751"/>
      <c r="C121" s="753"/>
    </row>
    <row r="122">
      <c r="A122" s="752"/>
      <c r="B122" s="751"/>
      <c r="C122" s="753"/>
    </row>
    <row r="123">
      <c r="A123" s="752"/>
      <c r="B123" s="751"/>
      <c r="C123" s="753"/>
    </row>
    <row r="124">
      <c r="A124" s="752"/>
      <c r="B124" s="751"/>
      <c r="C124" s="753"/>
    </row>
    <row r="125">
      <c r="A125" s="752"/>
      <c r="B125" s="751"/>
      <c r="C125" s="753"/>
    </row>
    <row r="126">
      <c r="A126" s="752"/>
      <c r="B126" s="751"/>
      <c r="C126" s="753"/>
    </row>
    <row r="127">
      <c r="A127" s="752"/>
      <c r="B127" s="751"/>
      <c r="C127" s="753"/>
    </row>
    <row r="128">
      <c r="A128" s="752"/>
      <c r="B128" s="751"/>
      <c r="C128" s="753"/>
    </row>
    <row r="129">
      <c r="A129" s="752"/>
      <c r="B129" s="751"/>
      <c r="C129" s="753"/>
    </row>
    <row r="130">
      <c r="A130" s="752"/>
      <c r="B130" s="751"/>
      <c r="C130" s="753"/>
    </row>
    <row r="131">
      <c r="A131" s="752"/>
      <c r="B131" s="751"/>
      <c r="C131" s="753"/>
    </row>
    <row r="132">
      <c r="A132" s="752"/>
      <c r="B132" s="751"/>
      <c r="C132" s="753"/>
    </row>
    <row r="133">
      <c r="A133" s="752"/>
      <c r="B133" s="751"/>
      <c r="C133" s="753"/>
    </row>
    <row r="134">
      <c r="A134" s="752"/>
      <c r="B134" s="751"/>
      <c r="C134" s="753"/>
    </row>
    <row r="135">
      <c r="A135" s="752"/>
      <c r="B135" s="751"/>
      <c r="C135" s="753"/>
    </row>
    <row r="136">
      <c r="A136" s="752"/>
      <c r="B136" s="751"/>
      <c r="C136" s="753"/>
    </row>
    <row r="137">
      <c r="A137" s="752"/>
      <c r="B137" s="751"/>
      <c r="C137" s="753"/>
    </row>
    <row r="138">
      <c r="A138" s="752"/>
      <c r="B138" s="751"/>
      <c r="C138" s="753"/>
    </row>
    <row r="139">
      <c r="A139" s="752"/>
      <c r="B139" s="751"/>
      <c r="C139" s="753"/>
    </row>
    <row r="140">
      <c r="A140" s="752"/>
      <c r="B140" s="751"/>
      <c r="C140" s="753"/>
    </row>
    <row r="141">
      <c r="A141" s="752"/>
      <c r="B141" s="751"/>
      <c r="C141" s="753"/>
    </row>
    <row r="142">
      <c r="A142" s="752"/>
      <c r="B142" s="751"/>
      <c r="C142" s="753"/>
    </row>
    <row r="143">
      <c r="A143" s="752"/>
      <c r="B143" s="751"/>
      <c r="C143" s="753"/>
    </row>
    <row r="144">
      <c r="A144" s="752"/>
      <c r="B144" s="751"/>
      <c r="C144" s="753"/>
    </row>
    <row r="145">
      <c r="A145" s="752"/>
      <c r="B145" s="751"/>
      <c r="C145" s="753"/>
    </row>
    <row r="146">
      <c r="A146" s="752"/>
      <c r="B146" s="751"/>
      <c r="C146" s="753"/>
    </row>
    <row r="147">
      <c r="A147" s="752"/>
      <c r="B147" s="751"/>
      <c r="C147" s="753"/>
    </row>
    <row r="148">
      <c r="A148" s="752"/>
      <c r="B148" s="751"/>
      <c r="C148" s="753"/>
    </row>
    <row r="149">
      <c r="A149" s="752"/>
      <c r="B149" s="751"/>
      <c r="C149" s="753"/>
    </row>
    <row r="150">
      <c r="A150" s="752"/>
      <c r="B150" s="751"/>
      <c r="C150" s="753"/>
    </row>
    <row r="151">
      <c r="A151" s="752"/>
      <c r="B151" s="751"/>
      <c r="C151" s="753"/>
    </row>
    <row r="152">
      <c r="A152" s="752"/>
      <c r="B152" s="751"/>
      <c r="C152" s="753"/>
    </row>
    <row r="153">
      <c r="A153" s="752"/>
      <c r="B153" s="751"/>
      <c r="C153" s="753"/>
    </row>
    <row r="154">
      <c r="A154" s="752"/>
      <c r="B154" s="751"/>
      <c r="C154" s="753"/>
    </row>
    <row r="155">
      <c r="A155" s="752"/>
      <c r="B155" s="751"/>
      <c r="C155" s="753"/>
    </row>
    <row r="156">
      <c r="A156" s="752"/>
      <c r="B156" s="751"/>
      <c r="C156" s="753"/>
    </row>
    <row r="157">
      <c r="A157" s="752"/>
      <c r="B157" s="751"/>
      <c r="C157" s="753"/>
    </row>
    <row r="158">
      <c r="A158" s="752"/>
      <c r="B158" s="751"/>
      <c r="C158" s="753"/>
    </row>
    <row r="159">
      <c r="A159" s="752"/>
      <c r="B159" s="751"/>
      <c r="C159" s="753"/>
    </row>
    <row r="160">
      <c r="A160" s="752"/>
      <c r="B160" s="751"/>
      <c r="C160" s="753"/>
    </row>
    <row r="161">
      <c r="A161" s="752"/>
      <c r="B161" s="751"/>
      <c r="C161" s="753"/>
    </row>
    <row r="162">
      <c r="A162" s="752"/>
      <c r="B162" s="751"/>
      <c r="C162" s="753"/>
    </row>
    <row r="163">
      <c r="A163" s="752"/>
      <c r="B163" s="751"/>
      <c r="C163" s="753"/>
    </row>
    <row r="164">
      <c r="A164" s="752"/>
      <c r="B164" s="751"/>
      <c r="C164" s="753"/>
    </row>
    <row r="165">
      <c r="A165" s="752"/>
      <c r="B165" s="751"/>
      <c r="C165" s="753"/>
    </row>
    <row r="166">
      <c r="A166" s="752"/>
      <c r="B166" s="751"/>
      <c r="C166" s="753"/>
    </row>
    <row r="167">
      <c r="A167" s="752"/>
      <c r="B167" s="751"/>
      <c r="C167" s="753"/>
    </row>
    <row r="168">
      <c r="A168" s="752"/>
      <c r="B168" s="751"/>
      <c r="C168" s="753"/>
    </row>
    <row r="169">
      <c r="A169" s="752"/>
      <c r="B169" s="751"/>
      <c r="C169" s="753"/>
    </row>
    <row r="170">
      <c r="A170" s="752"/>
      <c r="B170" s="751"/>
      <c r="C170" s="753"/>
    </row>
    <row r="171">
      <c r="A171" s="752"/>
      <c r="B171" s="751"/>
      <c r="C171" s="753"/>
    </row>
    <row r="172">
      <c r="A172" s="752"/>
      <c r="B172" s="751"/>
      <c r="C172" s="753"/>
    </row>
    <row r="173">
      <c r="A173" s="752"/>
      <c r="B173" s="751"/>
      <c r="C173" s="753"/>
    </row>
    <row r="174">
      <c r="A174" s="752"/>
      <c r="B174" s="751"/>
      <c r="C174" s="753"/>
    </row>
    <row r="175">
      <c r="A175" s="752"/>
      <c r="B175" s="751"/>
      <c r="C175" s="753"/>
    </row>
    <row r="176">
      <c r="A176" s="752"/>
      <c r="B176" s="751"/>
      <c r="C176" s="753"/>
    </row>
    <row r="177">
      <c r="A177" s="752"/>
      <c r="B177" s="751"/>
      <c r="C177" s="753"/>
    </row>
    <row r="178">
      <c r="A178" s="752"/>
      <c r="B178" s="751"/>
      <c r="C178" s="753"/>
    </row>
    <row r="179">
      <c r="A179" s="752"/>
      <c r="B179" s="751"/>
      <c r="C179" s="753"/>
    </row>
    <row r="180">
      <c r="A180" s="752"/>
      <c r="B180" s="751"/>
      <c r="C180" s="753"/>
    </row>
    <row r="181">
      <c r="A181" s="752"/>
      <c r="B181" s="751"/>
      <c r="C181" s="753"/>
    </row>
    <row r="182">
      <c r="A182" s="752"/>
      <c r="B182" s="751"/>
      <c r="C182" s="753"/>
    </row>
    <row r="183">
      <c r="A183" s="752"/>
      <c r="B183" s="751"/>
      <c r="C183" s="753"/>
    </row>
    <row r="184">
      <c r="A184" s="752"/>
      <c r="B184" s="751"/>
      <c r="C184" s="753"/>
    </row>
    <row r="185">
      <c r="A185" s="752"/>
      <c r="B185" s="751"/>
      <c r="C185" s="753"/>
    </row>
    <row r="186">
      <c r="A186" s="752"/>
      <c r="B186" s="751"/>
      <c r="C186" s="753"/>
    </row>
    <row r="187">
      <c r="A187" s="752"/>
      <c r="B187" s="751"/>
      <c r="C187" s="753"/>
    </row>
    <row r="188">
      <c r="A188" s="752"/>
      <c r="B188" s="751"/>
      <c r="C188" s="753"/>
    </row>
    <row r="189">
      <c r="A189" s="752"/>
      <c r="B189" s="751"/>
      <c r="C189" s="753"/>
    </row>
    <row r="190">
      <c r="A190" s="752"/>
      <c r="B190" s="751"/>
      <c r="C190" s="753"/>
    </row>
    <row r="191">
      <c r="A191" s="752"/>
      <c r="B191" s="751"/>
      <c r="C191" s="753"/>
    </row>
    <row r="192">
      <c r="A192" s="752"/>
      <c r="B192" s="751"/>
      <c r="C192" s="753"/>
    </row>
    <row r="193">
      <c r="A193" s="752"/>
      <c r="B193" s="751"/>
      <c r="C193" s="753"/>
    </row>
    <row r="194">
      <c r="A194" s="752"/>
      <c r="B194" s="751"/>
      <c r="C194" s="753"/>
    </row>
    <row r="195">
      <c r="A195" s="752"/>
      <c r="B195" s="751"/>
      <c r="C195" s="753"/>
    </row>
    <row r="196">
      <c r="A196" s="752"/>
      <c r="B196" s="751"/>
      <c r="C196" s="753"/>
    </row>
    <row r="197">
      <c r="A197" s="752"/>
      <c r="B197" s="751"/>
      <c r="C197" s="753"/>
    </row>
    <row r="198">
      <c r="A198" s="752"/>
      <c r="B198" s="751"/>
      <c r="C198" s="753"/>
    </row>
    <row r="199">
      <c r="A199" s="752"/>
      <c r="B199" s="751"/>
      <c r="C199" s="753"/>
    </row>
    <row r="200">
      <c r="A200" s="752"/>
      <c r="B200" s="751"/>
      <c r="C200" s="753"/>
    </row>
    <row r="201">
      <c r="A201" s="752"/>
      <c r="B201" s="751"/>
      <c r="C201" s="753"/>
    </row>
    <row r="202">
      <c r="A202" s="752"/>
      <c r="B202" s="751"/>
      <c r="C202" s="753"/>
    </row>
    <row r="203">
      <c r="A203" s="752"/>
      <c r="B203" s="751"/>
      <c r="C203" s="753"/>
    </row>
    <row r="204">
      <c r="A204" s="752"/>
      <c r="B204" s="751"/>
      <c r="C204" s="753"/>
    </row>
    <row r="205">
      <c r="A205" s="752"/>
      <c r="B205" s="751"/>
      <c r="C205" s="753"/>
    </row>
    <row r="206">
      <c r="A206" s="752"/>
      <c r="B206" s="751"/>
      <c r="C206" s="753"/>
    </row>
    <row r="207">
      <c r="A207" s="752"/>
      <c r="B207" s="751"/>
      <c r="C207" s="753"/>
    </row>
    <row r="208">
      <c r="A208" s="752"/>
      <c r="B208" s="751"/>
      <c r="C208" s="753"/>
    </row>
    <row r="209">
      <c r="A209" s="752"/>
      <c r="B209" s="751"/>
      <c r="C209" s="753"/>
    </row>
    <row r="210">
      <c r="A210" s="752"/>
      <c r="B210" s="751"/>
      <c r="C210" s="753"/>
    </row>
    <row r="211">
      <c r="A211" s="752"/>
      <c r="B211" s="751"/>
      <c r="C211" s="753"/>
    </row>
    <row r="212">
      <c r="A212" s="752"/>
      <c r="B212" s="751"/>
      <c r="C212" s="753"/>
    </row>
    <row r="213">
      <c r="A213" s="752"/>
      <c r="B213" s="751"/>
      <c r="C213" s="753"/>
    </row>
    <row r="214">
      <c r="A214" s="752"/>
      <c r="B214" s="751"/>
      <c r="C214" s="753"/>
    </row>
    <row r="215">
      <c r="A215" s="752"/>
      <c r="B215" s="751"/>
      <c r="C215" s="753"/>
    </row>
    <row r="216">
      <c r="A216" s="752"/>
      <c r="B216" s="751"/>
      <c r="C216" s="753"/>
    </row>
    <row r="217">
      <c r="A217" s="752"/>
      <c r="B217" s="751"/>
      <c r="C217" s="753"/>
    </row>
    <row r="218">
      <c r="A218" s="752"/>
      <c r="B218" s="751"/>
      <c r="C218" s="753"/>
    </row>
    <row r="219">
      <c r="A219" s="752"/>
      <c r="B219" s="751"/>
      <c r="C219" s="753"/>
    </row>
    <row r="220">
      <c r="A220" s="752"/>
      <c r="B220" s="751"/>
      <c r="C220" s="753"/>
    </row>
    <row r="221">
      <c r="A221" s="752"/>
      <c r="B221" s="751"/>
      <c r="C221" s="753"/>
    </row>
    <row r="222">
      <c r="A222" s="752"/>
      <c r="B222" s="751"/>
      <c r="C222" s="753"/>
    </row>
    <row r="223">
      <c r="A223" s="752"/>
      <c r="B223" s="751"/>
      <c r="C223" s="753"/>
    </row>
    <row r="224">
      <c r="A224" s="752"/>
      <c r="B224" s="751"/>
      <c r="C224" s="753"/>
    </row>
    <row r="225">
      <c r="A225" s="752"/>
      <c r="B225" s="751"/>
      <c r="C225" s="753"/>
    </row>
    <row r="226">
      <c r="A226" s="752"/>
      <c r="B226" s="751"/>
      <c r="C226" s="753"/>
    </row>
    <row r="227">
      <c r="A227" s="752"/>
      <c r="B227" s="751"/>
      <c r="C227" s="753"/>
    </row>
    <row r="228">
      <c r="A228" s="752"/>
      <c r="B228" s="751"/>
      <c r="C228" s="753"/>
    </row>
    <row r="229">
      <c r="A229" s="752"/>
      <c r="B229" s="751"/>
      <c r="C229" s="753"/>
    </row>
    <row r="230">
      <c r="A230" s="752"/>
      <c r="B230" s="751"/>
      <c r="C230" s="753"/>
    </row>
    <row r="231">
      <c r="A231" s="752"/>
      <c r="B231" s="751"/>
      <c r="C231" s="753"/>
    </row>
    <row r="232">
      <c r="A232" s="752"/>
      <c r="B232" s="751"/>
      <c r="C232" s="753"/>
    </row>
    <row r="233">
      <c r="A233" s="752"/>
      <c r="B233" s="751"/>
      <c r="C233" s="753"/>
    </row>
    <row r="234">
      <c r="A234" s="752"/>
      <c r="B234" s="751"/>
      <c r="C234" s="753"/>
    </row>
    <row r="235">
      <c r="A235" s="752"/>
      <c r="B235" s="751"/>
      <c r="C235" s="753"/>
    </row>
    <row r="236">
      <c r="A236" s="752"/>
      <c r="B236" s="751"/>
      <c r="C236" s="753"/>
    </row>
    <row r="237">
      <c r="A237" s="752"/>
      <c r="B237" s="751"/>
      <c r="C237" s="753"/>
    </row>
    <row r="238">
      <c r="A238" s="752"/>
      <c r="B238" s="751"/>
      <c r="C238" s="753"/>
    </row>
    <row r="239">
      <c r="A239" s="752"/>
      <c r="B239" s="751"/>
      <c r="C239" s="753"/>
    </row>
    <row r="240">
      <c r="A240" s="752"/>
      <c r="B240" s="751"/>
      <c r="C240" s="753"/>
    </row>
    <row r="241">
      <c r="A241" s="752"/>
      <c r="B241" s="751"/>
      <c r="C241" s="753"/>
    </row>
    <row r="242">
      <c r="A242" s="752"/>
      <c r="B242" s="751"/>
      <c r="C242" s="753"/>
    </row>
    <row r="243">
      <c r="A243" s="752"/>
      <c r="B243" s="751"/>
      <c r="C243" s="753"/>
    </row>
    <row r="244">
      <c r="A244" s="752"/>
      <c r="B244" s="751"/>
      <c r="C244" s="753"/>
    </row>
    <row r="245">
      <c r="A245" s="752"/>
      <c r="B245" s="751"/>
      <c r="C245" s="753"/>
    </row>
    <row r="246">
      <c r="A246" s="752"/>
      <c r="B246" s="751"/>
      <c r="C246" s="753"/>
    </row>
    <row r="247">
      <c r="A247" s="752"/>
      <c r="B247" s="751"/>
      <c r="C247" s="753"/>
    </row>
    <row r="248">
      <c r="A248" s="752"/>
      <c r="B248" s="751"/>
      <c r="C248" s="753"/>
    </row>
    <row r="249">
      <c r="A249" s="752"/>
      <c r="B249" s="751"/>
      <c r="C249" s="753"/>
    </row>
    <row r="250">
      <c r="A250" s="752"/>
      <c r="B250" s="751"/>
      <c r="C250" s="753"/>
    </row>
    <row r="251">
      <c r="A251" s="752"/>
      <c r="B251" s="751"/>
      <c r="C251" s="753"/>
    </row>
    <row r="252">
      <c r="A252" s="752"/>
      <c r="B252" s="751"/>
      <c r="C252" s="753"/>
    </row>
    <row r="253">
      <c r="A253" s="752"/>
      <c r="B253" s="751"/>
      <c r="C253" s="753"/>
    </row>
    <row r="254">
      <c r="A254" s="752"/>
      <c r="B254" s="751"/>
      <c r="C254" s="753"/>
    </row>
    <row r="255">
      <c r="A255" s="752"/>
      <c r="B255" s="751"/>
      <c r="C255" s="753"/>
    </row>
    <row r="256">
      <c r="A256" s="752"/>
      <c r="B256" s="751"/>
      <c r="C256" s="753"/>
    </row>
    <row r="257">
      <c r="A257" s="752"/>
      <c r="B257" s="751"/>
      <c r="C257" s="753"/>
    </row>
    <row r="258">
      <c r="A258" s="752"/>
      <c r="B258" s="751"/>
      <c r="C258" s="753"/>
    </row>
    <row r="259">
      <c r="A259" s="752"/>
      <c r="B259" s="751"/>
      <c r="C259" s="753"/>
    </row>
    <row r="260">
      <c r="A260" s="752"/>
      <c r="B260" s="751"/>
      <c r="C260" s="753"/>
    </row>
    <row r="261">
      <c r="A261" s="752"/>
      <c r="B261" s="751"/>
      <c r="C261" s="753"/>
    </row>
    <row r="262">
      <c r="A262" s="752"/>
      <c r="B262" s="751"/>
      <c r="C262" s="753"/>
    </row>
    <row r="263">
      <c r="A263" s="752"/>
      <c r="B263" s="751"/>
      <c r="C263" s="753"/>
    </row>
    <row r="264">
      <c r="A264" s="752"/>
      <c r="B264" s="751"/>
      <c r="C264" s="753"/>
    </row>
    <row r="265">
      <c r="A265" s="752"/>
      <c r="B265" s="751"/>
      <c r="C265" s="753"/>
    </row>
    <row r="266">
      <c r="A266" s="752"/>
      <c r="B266" s="751"/>
      <c r="C266" s="753"/>
    </row>
    <row r="267">
      <c r="A267" s="752"/>
      <c r="B267" s="751"/>
      <c r="C267" s="753"/>
    </row>
    <row r="268">
      <c r="A268" s="752"/>
      <c r="B268" s="751"/>
      <c r="C268" s="753"/>
    </row>
    <row r="269">
      <c r="A269" s="752"/>
      <c r="B269" s="751"/>
      <c r="C269" s="753"/>
    </row>
    <row r="270">
      <c r="A270" s="752"/>
      <c r="B270" s="751"/>
      <c r="C270" s="753"/>
    </row>
    <row r="271">
      <c r="A271" s="752"/>
      <c r="B271" s="751"/>
      <c r="C271" s="753"/>
    </row>
    <row r="272">
      <c r="A272" s="752"/>
      <c r="B272" s="751"/>
      <c r="C272" s="753"/>
    </row>
    <row r="273">
      <c r="A273" s="752"/>
      <c r="B273" s="751"/>
      <c r="C273" s="753"/>
    </row>
    <row r="274">
      <c r="A274" s="752"/>
      <c r="B274" s="751"/>
      <c r="C274" s="753"/>
    </row>
    <row r="275">
      <c r="A275" s="752"/>
      <c r="B275" s="751"/>
      <c r="C275" s="753"/>
    </row>
    <row r="276">
      <c r="A276" s="752"/>
      <c r="B276" s="751"/>
      <c r="C276" s="753"/>
    </row>
    <row r="277">
      <c r="A277" s="752"/>
      <c r="B277" s="751"/>
      <c r="C277" s="753"/>
    </row>
    <row r="278">
      <c r="A278" s="752"/>
      <c r="B278" s="751"/>
      <c r="C278" s="753"/>
    </row>
    <row r="279">
      <c r="A279" s="752"/>
      <c r="B279" s="751"/>
      <c r="C279" s="753"/>
    </row>
    <row r="280">
      <c r="A280" s="752"/>
      <c r="B280" s="751"/>
      <c r="C280" s="753"/>
    </row>
    <row r="281">
      <c r="A281" s="752"/>
      <c r="B281" s="751"/>
      <c r="C281" s="753"/>
    </row>
    <row r="282">
      <c r="A282" s="752"/>
      <c r="B282" s="751"/>
      <c r="C282" s="753"/>
    </row>
    <row r="283">
      <c r="A283" s="752"/>
      <c r="B283" s="751"/>
      <c r="C283" s="753"/>
    </row>
    <row r="284">
      <c r="A284" s="752"/>
      <c r="B284" s="751"/>
      <c r="C284" s="753"/>
    </row>
    <row r="285">
      <c r="A285" s="752"/>
      <c r="B285" s="751"/>
      <c r="C285" s="753"/>
    </row>
    <row r="286">
      <c r="A286" s="752"/>
      <c r="B286" s="751"/>
      <c r="C286" s="753"/>
    </row>
    <row r="287">
      <c r="A287" s="752"/>
      <c r="B287" s="751"/>
      <c r="C287" s="753"/>
    </row>
    <row r="288">
      <c r="A288" s="752"/>
      <c r="B288" s="751"/>
      <c r="C288" s="753"/>
    </row>
    <row r="289">
      <c r="A289" s="752"/>
      <c r="B289" s="751"/>
      <c r="C289" s="753"/>
    </row>
    <row r="290">
      <c r="A290" s="752"/>
      <c r="B290" s="751"/>
      <c r="C290" s="753"/>
    </row>
    <row r="291">
      <c r="A291" s="752"/>
      <c r="B291" s="751"/>
      <c r="C291" s="753"/>
    </row>
    <row r="292">
      <c r="A292" s="752"/>
      <c r="B292" s="751"/>
      <c r="C292" s="753"/>
    </row>
    <row r="293">
      <c r="A293" s="752"/>
      <c r="B293" s="751"/>
      <c r="C293" s="753"/>
    </row>
    <row r="294">
      <c r="A294" s="752"/>
      <c r="B294" s="751"/>
      <c r="C294" s="753"/>
    </row>
    <row r="295">
      <c r="A295" s="752"/>
      <c r="B295" s="751"/>
      <c r="C295" s="753"/>
    </row>
    <row r="296">
      <c r="A296" s="752"/>
      <c r="B296" s="751"/>
      <c r="C296" s="753"/>
    </row>
    <row r="297">
      <c r="A297" s="752"/>
      <c r="B297" s="751"/>
      <c r="C297" s="753"/>
    </row>
    <row r="298">
      <c r="A298" s="752"/>
      <c r="B298" s="751"/>
      <c r="C298" s="753"/>
    </row>
    <row r="299">
      <c r="A299" s="752"/>
      <c r="B299" s="751"/>
      <c r="C299" s="753"/>
    </row>
    <row r="300">
      <c r="A300" s="752"/>
      <c r="B300" s="751"/>
      <c r="C300" s="753"/>
    </row>
    <row r="301">
      <c r="A301" s="752"/>
      <c r="B301" s="751"/>
      <c r="C301" s="753"/>
    </row>
    <row r="302">
      <c r="A302" s="752"/>
      <c r="B302" s="751"/>
      <c r="C302" s="753"/>
    </row>
    <row r="303">
      <c r="A303" s="752"/>
      <c r="B303" s="751"/>
      <c r="C303" s="753"/>
    </row>
    <row r="304">
      <c r="A304" s="752"/>
      <c r="B304" s="751"/>
      <c r="C304" s="753"/>
    </row>
    <row r="305">
      <c r="A305" s="752"/>
      <c r="B305" s="751"/>
      <c r="C305" s="753"/>
    </row>
    <row r="306">
      <c r="A306" s="752"/>
      <c r="B306" s="751"/>
      <c r="C306" s="753"/>
    </row>
    <row r="307">
      <c r="A307" s="752"/>
      <c r="B307" s="751"/>
      <c r="C307" s="753"/>
    </row>
    <row r="308">
      <c r="A308" s="752"/>
      <c r="B308" s="751"/>
      <c r="C308" s="753"/>
    </row>
    <row r="309">
      <c r="A309" s="752"/>
      <c r="B309" s="751"/>
      <c r="C309" s="753"/>
    </row>
    <row r="310">
      <c r="A310" s="752"/>
      <c r="B310" s="751"/>
      <c r="C310" s="753"/>
    </row>
    <row r="311">
      <c r="A311" s="752"/>
      <c r="B311" s="751"/>
      <c r="C311" s="753"/>
    </row>
    <row r="312">
      <c r="A312" s="752"/>
      <c r="B312" s="751"/>
      <c r="C312" s="753"/>
    </row>
    <row r="313">
      <c r="A313" s="752"/>
      <c r="B313" s="751"/>
      <c r="C313" s="753"/>
    </row>
    <row r="314">
      <c r="A314" s="752"/>
      <c r="B314" s="751"/>
      <c r="C314" s="753"/>
    </row>
    <row r="315">
      <c r="A315" s="752"/>
      <c r="B315" s="751"/>
      <c r="C315" s="753"/>
    </row>
    <row r="316">
      <c r="A316" s="752"/>
      <c r="B316" s="751"/>
      <c r="C316" s="753"/>
    </row>
    <row r="317">
      <c r="A317" s="752"/>
      <c r="B317" s="751"/>
      <c r="C317" s="753"/>
    </row>
    <row r="318">
      <c r="A318" s="752"/>
      <c r="B318" s="751"/>
      <c r="C318" s="753"/>
    </row>
    <row r="319">
      <c r="A319" s="752"/>
      <c r="B319" s="751"/>
      <c r="C319" s="753"/>
    </row>
    <row r="320">
      <c r="A320" s="752"/>
      <c r="B320" s="751"/>
      <c r="C320" s="753"/>
    </row>
    <row r="321">
      <c r="A321" s="752"/>
      <c r="B321" s="751"/>
      <c r="C321" s="753"/>
    </row>
    <row r="322">
      <c r="A322" s="752"/>
      <c r="B322" s="751"/>
      <c r="C322" s="753"/>
    </row>
    <row r="323">
      <c r="A323" s="752"/>
      <c r="B323" s="751"/>
      <c r="C323" s="753"/>
    </row>
    <row r="324">
      <c r="A324" s="752"/>
      <c r="B324" s="751"/>
      <c r="C324" s="753"/>
    </row>
    <row r="325">
      <c r="A325" s="752"/>
      <c r="B325" s="751"/>
      <c r="C325" s="753"/>
    </row>
    <row r="326">
      <c r="A326" s="752"/>
      <c r="B326" s="751"/>
      <c r="C326" s="753"/>
    </row>
    <row r="327">
      <c r="A327" s="752"/>
      <c r="B327" s="751"/>
      <c r="C327" s="753"/>
    </row>
    <row r="328">
      <c r="A328" s="752"/>
      <c r="B328" s="751"/>
      <c r="C328" s="753"/>
    </row>
    <row r="329">
      <c r="A329" s="752"/>
      <c r="B329" s="751"/>
      <c r="C329" s="753"/>
    </row>
    <row r="330">
      <c r="A330" s="752"/>
      <c r="B330" s="751"/>
      <c r="C330" s="753"/>
    </row>
    <row r="331">
      <c r="A331" s="752"/>
      <c r="B331" s="751"/>
      <c r="C331" s="753"/>
    </row>
    <row r="332">
      <c r="A332" s="752"/>
      <c r="B332" s="751"/>
      <c r="C332" s="753"/>
    </row>
    <row r="333">
      <c r="A333" s="752"/>
      <c r="B333" s="751"/>
      <c r="C333" s="753"/>
    </row>
    <row r="334">
      <c r="A334" s="752"/>
      <c r="B334" s="751"/>
      <c r="C334" s="753"/>
    </row>
    <row r="335">
      <c r="A335" s="752"/>
      <c r="B335" s="751"/>
      <c r="C335" s="753"/>
    </row>
    <row r="336">
      <c r="A336" s="752"/>
      <c r="B336" s="751"/>
      <c r="C336" s="753"/>
    </row>
    <row r="337">
      <c r="A337" s="752"/>
      <c r="B337" s="751"/>
      <c r="C337" s="753"/>
    </row>
    <row r="338">
      <c r="A338" s="752"/>
      <c r="B338" s="751"/>
      <c r="C338" s="753"/>
    </row>
    <row r="339">
      <c r="A339" s="752"/>
      <c r="B339" s="751"/>
      <c r="C339" s="753"/>
    </row>
    <row r="340">
      <c r="A340" s="752"/>
      <c r="B340" s="751"/>
      <c r="C340" s="753"/>
    </row>
    <row r="341">
      <c r="A341" s="752"/>
      <c r="B341" s="751"/>
      <c r="C341" s="753"/>
    </row>
    <row r="342">
      <c r="A342" s="752"/>
      <c r="B342" s="751"/>
      <c r="C342" s="753"/>
    </row>
    <row r="343">
      <c r="A343" s="752"/>
      <c r="B343" s="751"/>
      <c r="C343" s="753"/>
    </row>
    <row r="344">
      <c r="A344" s="752"/>
      <c r="B344" s="751"/>
      <c r="C344" s="753"/>
    </row>
    <row r="345">
      <c r="A345" s="752"/>
      <c r="B345" s="751"/>
      <c r="C345" s="753"/>
    </row>
    <row r="346">
      <c r="A346" s="752"/>
      <c r="B346" s="751"/>
      <c r="C346" s="753"/>
    </row>
    <row r="347">
      <c r="A347" s="752"/>
      <c r="B347" s="751"/>
      <c r="C347" s="753"/>
    </row>
    <row r="348">
      <c r="A348" s="752"/>
      <c r="B348" s="751"/>
      <c r="C348" s="753"/>
    </row>
    <row r="349">
      <c r="A349" s="752"/>
      <c r="B349" s="751"/>
      <c r="C349" s="753"/>
    </row>
    <row r="350">
      <c r="A350" s="752"/>
      <c r="B350" s="751"/>
      <c r="C350" s="753"/>
    </row>
    <row r="351">
      <c r="A351" s="752"/>
      <c r="B351" s="751"/>
      <c r="C351" s="753"/>
    </row>
    <row r="352">
      <c r="A352" s="752"/>
      <c r="B352" s="751"/>
      <c r="C352" s="753"/>
    </row>
    <row r="353">
      <c r="A353" s="752"/>
      <c r="B353" s="751"/>
      <c r="C353" s="753"/>
    </row>
    <row r="354">
      <c r="A354" s="752"/>
      <c r="B354" s="751"/>
      <c r="C354" s="753"/>
    </row>
    <row r="355">
      <c r="A355" s="752"/>
      <c r="B355" s="751"/>
      <c r="C355" s="753"/>
    </row>
    <row r="356">
      <c r="A356" s="752"/>
      <c r="B356" s="751"/>
      <c r="C356" s="753"/>
    </row>
    <row r="357">
      <c r="A357" s="752"/>
      <c r="B357" s="751"/>
      <c r="C357" s="753"/>
    </row>
    <row r="358">
      <c r="A358" s="752"/>
      <c r="B358" s="751"/>
      <c r="C358" s="753"/>
    </row>
    <row r="359">
      <c r="A359" s="752"/>
      <c r="B359" s="751"/>
      <c r="C359" s="753"/>
    </row>
    <row r="360">
      <c r="A360" s="752"/>
      <c r="B360" s="751"/>
      <c r="C360" s="753"/>
    </row>
    <row r="361">
      <c r="A361" s="752"/>
      <c r="B361" s="751"/>
      <c r="C361" s="753"/>
    </row>
    <row r="362">
      <c r="A362" s="752"/>
      <c r="B362" s="751"/>
      <c r="C362" s="753"/>
    </row>
    <row r="363">
      <c r="A363" s="752"/>
      <c r="B363" s="751"/>
      <c r="C363" s="753"/>
    </row>
    <row r="364">
      <c r="A364" s="752"/>
      <c r="B364" s="751"/>
      <c r="C364" s="753"/>
    </row>
    <row r="365">
      <c r="A365" s="752"/>
      <c r="B365" s="751"/>
      <c r="C365" s="753"/>
    </row>
    <row r="366">
      <c r="A366" s="752"/>
      <c r="B366" s="751"/>
      <c r="C366" s="753"/>
    </row>
    <row r="367">
      <c r="A367" s="752"/>
      <c r="B367" s="751"/>
      <c r="C367" s="753"/>
    </row>
    <row r="368">
      <c r="A368" s="752"/>
      <c r="B368" s="751"/>
      <c r="C368" s="753"/>
    </row>
    <row r="369">
      <c r="A369" s="752"/>
      <c r="B369" s="751"/>
      <c r="C369" s="753"/>
    </row>
    <row r="370">
      <c r="A370" s="752"/>
      <c r="B370" s="751"/>
      <c r="C370" s="753"/>
    </row>
    <row r="371">
      <c r="A371" s="752"/>
      <c r="B371" s="751"/>
      <c r="C371" s="753"/>
    </row>
    <row r="372">
      <c r="A372" s="752"/>
      <c r="B372" s="751"/>
      <c r="C372" s="753"/>
    </row>
    <row r="373">
      <c r="A373" s="752"/>
      <c r="B373" s="751"/>
      <c r="C373" s="753"/>
    </row>
    <row r="374">
      <c r="A374" s="752"/>
      <c r="B374" s="751"/>
      <c r="C374" s="753"/>
    </row>
    <row r="375">
      <c r="A375" s="752"/>
      <c r="B375" s="751"/>
      <c r="C375" s="753"/>
    </row>
    <row r="376">
      <c r="A376" s="752"/>
      <c r="B376" s="751"/>
      <c r="C376" s="753"/>
    </row>
    <row r="377">
      <c r="A377" s="752"/>
      <c r="B377" s="751"/>
      <c r="C377" s="753"/>
    </row>
    <row r="378">
      <c r="A378" s="752"/>
      <c r="B378" s="751"/>
      <c r="C378" s="753"/>
    </row>
    <row r="379">
      <c r="A379" s="752"/>
      <c r="B379" s="751"/>
      <c r="C379" s="753"/>
    </row>
    <row r="380">
      <c r="A380" s="752"/>
      <c r="B380" s="751"/>
      <c r="C380" s="753"/>
    </row>
    <row r="381">
      <c r="A381" s="752"/>
      <c r="B381" s="751"/>
      <c r="C381" s="753"/>
    </row>
    <row r="382">
      <c r="A382" s="752"/>
      <c r="B382" s="751"/>
      <c r="C382" s="753"/>
    </row>
    <row r="383">
      <c r="A383" s="752"/>
      <c r="B383" s="751"/>
      <c r="C383" s="753"/>
    </row>
    <row r="384">
      <c r="A384" s="752"/>
      <c r="B384" s="751"/>
      <c r="C384" s="753"/>
    </row>
    <row r="385">
      <c r="A385" s="752"/>
      <c r="B385" s="751"/>
      <c r="C385" s="753"/>
    </row>
    <row r="386">
      <c r="A386" s="752"/>
      <c r="B386" s="751"/>
      <c r="C386" s="753"/>
    </row>
    <row r="387">
      <c r="A387" s="752"/>
      <c r="B387" s="751"/>
      <c r="C387" s="753"/>
    </row>
    <row r="388">
      <c r="A388" s="752"/>
      <c r="B388" s="751"/>
      <c r="C388" s="753"/>
    </row>
    <row r="389">
      <c r="A389" s="752"/>
      <c r="B389" s="751"/>
      <c r="C389" s="753"/>
    </row>
    <row r="390">
      <c r="A390" s="752"/>
      <c r="B390" s="751"/>
      <c r="C390" s="753"/>
    </row>
    <row r="391">
      <c r="A391" s="752"/>
      <c r="B391" s="751"/>
      <c r="C391" s="753"/>
    </row>
    <row r="392">
      <c r="A392" s="752"/>
      <c r="B392" s="751"/>
      <c r="C392" s="753"/>
    </row>
    <row r="393">
      <c r="A393" s="752"/>
      <c r="B393" s="751"/>
      <c r="C393" s="753"/>
    </row>
    <row r="394">
      <c r="A394" s="752"/>
      <c r="B394" s="751"/>
      <c r="C394" s="753"/>
    </row>
    <row r="395">
      <c r="A395" s="752"/>
      <c r="B395" s="751"/>
      <c r="C395" s="753"/>
    </row>
    <row r="396">
      <c r="A396" s="752"/>
      <c r="B396" s="751"/>
      <c r="C396" s="753"/>
    </row>
    <row r="397">
      <c r="A397" s="752"/>
      <c r="B397" s="751"/>
      <c r="C397" s="753"/>
    </row>
    <row r="398">
      <c r="A398" s="752"/>
      <c r="B398" s="751"/>
      <c r="C398" s="753"/>
    </row>
    <row r="399">
      <c r="A399" s="752"/>
      <c r="B399" s="751"/>
      <c r="C399" s="753"/>
    </row>
    <row r="400">
      <c r="A400" s="752"/>
      <c r="B400" s="751"/>
      <c r="C400" s="753"/>
    </row>
    <row r="401">
      <c r="A401" s="752"/>
      <c r="B401" s="751"/>
      <c r="C401" s="753"/>
    </row>
    <row r="402">
      <c r="A402" s="752"/>
      <c r="B402" s="751"/>
      <c r="C402" s="753"/>
    </row>
    <row r="403">
      <c r="A403" s="752"/>
      <c r="B403" s="751"/>
      <c r="C403" s="753"/>
    </row>
    <row r="404">
      <c r="A404" s="752"/>
      <c r="B404" s="751"/>
      <c r="C404" s="753"/>
    </row>
    <row r="405">
      <c r="A405" s="752"/>
      <c r="B405" s="751"/>
      <c r="C405" s="753"/>
    </row>
    <row r="406">
      <c r="A406" s="752"/>
      <c r="B406" s="751"/>
      <c r="C406" s="753"/>
    </row>
    <row r="407">
      <c r="A407" s="752"/>
      <c r="B407" s="751"/>
      <c r="C407" s="753"/>
    </row>
    <row r="408">
      <c r="A408" s="752"/>
      <c r="B408" s="751"/>
      <c r="C408" s="753"/>
    </row>
    <row r="409">
      <c r="A409" s="752"/>
      <c r="B409" s="751"/>
      <c r="C409" s="753"/>
    </row>
    <row r="410">
      <c r="A410" s="752"/>
      <c r="B410" s="751"/>
      <c r="C410" s="753"/>
    </row>
    <row r="411">
      <c r="A411" s="752"/>
      <c r="B411" s="751"/>
      <c r="C411" s="753"/>
    </row>
    <row r="412">
      <c r="A412" s="752"/>
      <c r="B412" s="751"/>
      <c r="C412" s="753"/>
    </row>
    <row r="413">
      <c r="A413" s="752"/>
      <c r="B413" s="751"/>
      <c r="C413" s="753"/>
    </row>
    <row r="414">
      <c r="A414" s="752"/>
      <c r="B414" s="751"/>
      <c r="C414" s="753"/>
    </row>
    <row r="415">
      <c r="A415" s="752"/>
      <c r="B415" s="751"/>
      <c r="C415" s="753"/>
    </row>
    <row r="416">
      <c r="A416" s="752"/>
      <c r="B416" s="751"/>
      <c r="C416" s="753"/>
    </row>
    <row r="417">
      <c r="A417" s="752"/>
      <c r="B417" s="751"/>
      <c r="C417" s="753"/>
    </row>
    <row r="418">
      <c r="A418" s="752"/>
      <c r="B418" s="751"/>
      <c r="C418" s="753"/>
    </row>
    <row r="419">
      <c r="A419" s="752"/>
      <c r="B419" s="751"/>
      <c r="C419" s="753"/>
    </row>
    <row r="420">
      <c r="A420" s="752"/>
      <c r="B420" s="751"/>
      <c r="C420" s="753"/>
    </row>
    <row r="421">
      <c r="A421" s="752"/>
      <c r="B421" s="751"/>
      <c r="C421" s="753"/>
    </row>
    <row r="422">
      <c r="A422" s="752"/>
      <c r="B422" s="751"/>
      <c r="C422" s="753"/>
    </row>
    <row r="423">
      <c r="A423" s="752"/>
      <c r="B423" s="751"/>
      <c r="C423" s="753"/>
    </row>
    <row r="424">
      <c r="A424" s="752"/>
      <c r="B424" s="751"/>
      <c r="C424" s="753"/>
    </row>
    <row r="425">
      <c r="A425" s="752"/>
      <c r="B425" s="751"/>
      <c r="C425" s="753"/>
    </row>
    <row r="426">
      <c r="A426" s="752"/>
      <c r="B426" s="751"/>
      <c r="C426" s="753"/>
    </row>
    <row r="427">
      <c r="A427" s="752"/>
      <c r="B427" s="751"/>
      <c r="C427" s="753"/>
    </row>
    <row r="428">
      <c r="A428" s="752"/>
      <c r="B428" s="751"/>
      <c r="C428" s="753"/>
    </row>
    <row r="429">
      <c r="A429" s="752"/>
      <c r="B429" s="751"/>
      <c r="C429" s="753"/>
    </row>
    <row r="430">
      <c r="A430" s="752"/>
      <c r="B430" s="751"/>
      <c r="C430" s="753"/>
    </row>
    <row r="431">
      <c r="A431" s="752"/>
      <c r="B431" s="751"/>
      <c r="C431" s="753"/>
    </row>
    <row r="432">
      <c r="A432" s="752"/>
      <c r="B432" s="751"/>
      <c r="C432" s="753"/>
    </row>
    <row r="433">
      <c r="A433" s="752"/>
      <c r="B433" s="751"/>
      <c r="C433" s="753"/>
    </row>
    <row r="434">
      <c r="A434" s="752"/>
      <c r="B434" s="751"/>
      <c r="C434" s="753"/>
    </row>
    <row r="435">
      <c r="A435" s="752"/>
      <c r="B435" s="751"/>
      <c r="C435" s="753"/>
    </row>
    <row r="436">
      <c r="A436" s="752"/>
      <c r="B436" s="751"/>
      <c r="C436" s="753"/>
    </row>
    <row r="437">
      <c r="A437" s="752"/>
      <c r="B437" s="751"/>
      <c r="C437" s="753"/>
    </row>
    <row r="438">
      <c r="A438" s="752"/>
      <c r="B438" s="751"/>
      <c r="C438" s="753"/>
    </row>
    <row r="439">
      <c r="A439" s="752"/>
      <c r="B439" s="751"/>
      <c r="C439" s="753"/>
    </row>
    <row r="440">
      <c r="A440" s="752"/>
      <c r="B440" s="751"/>
      <c r="C440" s="753"/>
    </row>
    <row r="441">
      <c r="A441" s="752"/>
      <c r="B441" s="751"/>
      <c r="C441" s="753"/>
    </row>
    <row r="442">
      <c r="A442" s="752"/>
      <c r="B442" s="751"/>
      <c r="C442" s="753"/>
    </row>
    <row r="443">
      <c r="A443" s="752"/>
      <c r="B443" s="751"/>
      <c r="C443" s="753"/>
    </row>
    <row r="444">
      <c r="A444" s="752"/>
      <c r="B444" s="751"/>
      <c r="C444" s="753"/>
    </row>
    <row r="445">
      <c r="A445" s="752"/>
      <c r="B445" s="751"/>
      <c r="C445" s="753"/>
    </row>
    <row r="446">
      <c r="A446" s="752"/>
      <c r="B446" s="751"/>
      <c r="C446" s="753"/>
    </row>
    <row r="447">
      <c r="A447" s="752"/>
      <c r="B447" s="751"/>
      <c r="C447" s="753"/>
    </row>
    <row r="448">
      <c r="A448" s="752"/>
      <c r="B448" s="751"/>
      <c r="C448" s="753"/>
    </row>
    <row r="449">
      <c r="A449" s="752"/>
      <c r="B449" s="751"/>
      <c r="C449" s="753"/>
    </row>
    <row r="450">
      <c r="A450" s="752"/>
      <c r="B450" s="751"/>
      <c r="C450" s="753"/>
    </row>
    <row r="451">
      <c r="A451" s="752"/>
      <c r="B451" s="751"/>
      <c r="C451" s="753"/>
    </row>
    <row r="452">
      <c r="A452" s="752"/>
      <c r="B452" s="751"/>
      <c r="C452" s="753"/>
    </row>
    <row r="453">
      <c r="A453" s="752"/>
      <c r="B453" s="751"/>
      <c r="C453" s="753"/>
    </row>
    <row r="454">
      <c r="A454" s="752"/>
      <c r="B454" s="751"/>
      <c r="C454" s="753"/>
    </row>
    <row r="455">
      <c r="A455" s="752"/>
      <c r="B455" s="751"/>
      <c r="C455" s="753"/>
    </row>
    <row r="456">
      <c r="A456" s="752"/>
      <c r="B456" s="751"/>
      <c r="C456" s="753"/>
    </row>
    <row r="457">
      <c r="A457" s="752"/>
      <c r="B457" s="751"/>
      <c r="C457" s="753"/>
    </row>
    <row r="458">
      <c r="A458" s="752"/>
      <c r="B458" s="751"/>
      <c r="C458" s="753"/>
    </row>
    <row r="459">
      <c r="A459" s="752"/>
      <c r="B459" s="751"/>
      <c r="C459" s="753"/>
    </row>
    <row r="460">
      <c r="A460" s="752"/>
      <c r="B460" s="751"/>
      <c r="C460" s="753"/>
    </row>
    <row r="461">
      <c r="A461" s="752"/>
      <c r="B461" s="751"/>
      <c r="C461" s="753"/>
    </row>
    <row r="462">
      <c r="A462" s="752"/>
      <c r="B462" s="751"/>
      <c r="C462" s="753"/>
    </row>
    <row r="463">
      <c r="A463" s="752"/>
      <c r="B463" s="751"/>
      <c r="C463" s="753"/>
    </row>
    <row r="464">
      <c r="A464" s="752"/>
      <c r="B464" s="751"/>
      <c r="C464" s="753"/>
    </row>
    <row r="465">
      <c r="A465" s="752"/>
      <c r="B465" s="751"/>
      <c r="C465" s="753"/>
    </row>
    <row r="466">
      <c r="A466" s="752"/>
      <c r="B466" s="751"/>
      <c r="C466" s="753"/>
    </row>
    <row r="467">
      <c r="A467" s="752"/>
      <c r="B467" s="751"/>
      <c r="C467" s="753"/>
    </row>
    <row r="468">
      <c r="A468" s="752"/>
      <c r="B468" s="751"/>
      <c r="C468" s="753"/>
    </row>
    <row r="469">
      <c r="A469" s="752"/>
      <c r="B469" s="751"/>
      <c r="C469" s="753"/>
    </row>
    <row r="470">
      <c r="A470" s="752"/>
      <c r="B470" s="751"/>
      <c r="C470" s="753"/>
    </row>
    <row r="471">
      <c r="A471" s="752"/>
      <c r="B471" s="751"/>
      <c r="C471" s="753"/>
    </row>
    <row r="472">
      <c r="A472" s="752"/>
      <c r="B472" s="751"/>
      <c r="C472" s="753"/>
    </row>
    <row r="473">
      <c r="A473" s="752"/>
      <c r="B473" s="751"/>
      <c r="C473" s="753"/>
    </row>
    <row r="474">
      <c r="A474" s="752"/>
      <c r="B474" s="751"/>
      <c r="C474" s="753"/>
    </row>
    <row r="475">
      <c r="A475" s="752"/>
      <c r="B475" s="751"/>
      <c r="C475" s="753"/>
    </row>
    <row r="476">
      <c r="A476" s="752"/>
      <c r="B476" s="751"/>
      <c r="C476" s="753"/>
    </row>
    <row r="477">
      <c r="A477" s="752"/>
      <c r="B477" s="751"/>
      <c r="C477" s="753"/>
    </row>
    <row r="478">
      <c r="A478" s="752"/>
      <c r="B478" s="751"/>
      <c r="C478" s="753"/>
    </row>
    <row r="479">
      <c r="A479" s="752"/>
      <c r="B479" s="751"/>
      <c r="C479" s="753"/>
    </row>
    <row r="480">
      <c r="A480" s="752"/>
      <c r="B480" s="751"/>
      <c r="C480" s="753"/>
    </row>
    <row r="481">
      <c r="A481" s="752"/>
      <c r="B481" s="751"/>
      <c r="C481" s="753"/>
    </row>
    <row r="482">
      <c r="A482" s="752"/>
      <c r="B482" s="751"/>
      <c r="C482" s="753"/>
    </row>
    <row r="483">
      <c r="A483" s="752"/>
      <c r="B483" s="751"/>
      <c r="C483" s="753"/>
    </row>
    <row r="484">
      <c r="A484" s="752"/>
      <c r="B484" s="751"/>
      <c r="C484" s="753"/>
    </row>
    <row r="485">
      <c r="A485" s="752"/>
      <c r="B485" s="751"/>
      <c r="C485" s="753"/>
    </row>
    <row r="486">
      <c r="A486" s="752"/>
      <c r="B486" s="751"/>
      <c r="C486" s="753"/>
    </row>
    <row r="487">
      <c r="A487" s="752"/>
      <c r="B487" s="751"/>
      <c r="C487" s="753"/>
    </row>
    <row r="488">
      <c r="A488" s="752"/>
      <c r="B488" s="751"/>
      <c r="C488" s="753"/>
    </row>
    <row r="489">
      <c r="A489" s="752"/>
      <c r="B489" s="751"/>
      <c r="C489" s="753"/>
    </row>
    <row r="490">
      <c r="A490" s="752"/>
      <c r="B490" s="751"/>
      <c r="C490" s="753"/>
    </row>
    <row r="491">
      <c r="A491" s="752"/>
      <c r="B491" s="751"/>
      <c r="C491" s="753"/>
    </row>
    <row r="492">
      <c r="A492" s="752"/>
      <c r="B492" s="751"/>
      <c r="C492" s="753"/>
    </row>
    <row r="493">
      <c r="A493" s="752"/>
      <c r="B493" s="751"/>
      <c r="C493" s="753"/>
    </row>
    <row r="494">
      <c r="A494" s="752"/>
      <c r="B494" s="751"/>
      <c r="C494" s="753"/>
    </row>
    <row r="495">
      <c r="A495" s="752"/>
      <c r="B495" s="751"/>
      <c r="C495" s="753"/>
    </row>
    <row r="496">
      <c r="A496" s="752"/>
      <c r="B496" s="751"/>
      <c r="C496" s="753"/>
    </row>
    <row r="497">
      <c r="A497" s="752"/>
      <c r="B497" s="751"/>
      <c r="C497" s="753"/>
    </row>
    <row r="498">
      <c r="A498" s="752"/>
      <c r="B498" s="751"/>
      <c r="C498" s="753"/>
    </row>
    <row r="499">
      <c r="A499" s="752"/>
      <c r="B499" s="751"/>
      <c r="C499" s="753"/>
    </row>
    <row r="500">
      <c r="A500" s="752"/>
      <c r="B500" s="751"/>
      <c r="C500" s="753"/>
    </row>
    <row r="501">
      <c r="A501" s="752"/>
      <c r="B501" s="751"/>
      <c r="C501" s="753"/>
    </row>
    <row r="502">
      <c r="A502" s="752"/>
      <c r="B502" s="751"/>
      <c r="C502" s="753"/>
    </row>
    <row r="503">
      <c r="A503" s="752"/>
      <c r="B503" s="751"/>
      <c r="C503" s="753"/>
    </row>
    <row r="504">
      <c r="A504" s="752"/>
      <c r="B504" s="751"/>
      <c r="C504" s="753"/>
    </row>
    <row r="505">
      <c r="A505" s="752"/>
      <c r="B505" s="751"/>
      <c r="C505" s="753"/>
    </row>
    <row r="506">
      <c r="A506" s="752"/>
      <c r="B506" s="751"/>
      <c r="C506" s="753"/>
    </row>
    <row r="507">
      <c r="A507" s="752"/>
      <c r="B507" s="751"/>
      <c r="C507" s="753"/>
    </row>
    <row r="508">
      <c r="A508" s="752"/>
      <c r="B508" s="751"/>
      <c r="C508" s="753"/>
    </row>
    <row r="509">
      <c r="A509" s="752"/>
      <c r="B509" s="751"/>
      <c r="C509" s="753"/>
    </row>
    <row r="510">
      <c r="A510" s="752"/>
      <c r="B510" s="751"/>
      <c r="C510" s="753"/>
    </row>
    <row r="511">
      <c r="A511" s="752"/>
      <c r="B511" s="751"/>
      <c r="C511" s="753"/>
    </row>
    <row r="512">
      <c r="A512" s="752"/>
      <c r="B512" s="751"/>
      <c r="C512" s="753"/>
    </row>
    <row r="513">
      <c r="A513" s="752"/>
      <c r="B513" s="751"/>
      <c r="C513" s="753"/>
    </row>
    <row r="514">
      <c r="A514" s="752"/>
      <c r="B514" s="751"/>
      <c r="C514" s="753"/>
    </row>
    <row r="515">
      <c r="A515" s="752"/>
      <c r="B515" s="751"/>
      <c r="C515" s="753"/>
    </row>
    <row r="516">
      <c r="A516" s="752"/>
      <c r="B516" s="751"/>
      <c r="C516" s="753"/>
    </row>
    <row r="517">
      <c r="A517" s="752"/>
      <c r="B517" s="751"/>
      <c r="C517" s="753"/>
    </row>
    <row r="518">
      <c r="A518" s="752"/>
      <c r="B518" s="751"/>
      <c r="C518" s="753"/>
    </row>
    <row r="519">
      <c r="A519" s="752"/>
      <c r="B519" s="751"/>
      <c r="C519" s="753"/>
    </row>
    <row r="520">
      <c r="A520" s="752"/>
      <c r="B520" s="751"/>
      <c r="C520" s="753"/>
    </row>
    <row r="521">
      <c r="A521" s="752"/>
      <c r="B521" s="751"/>
      <c r="C521" s="753"/>
    </row>
    <row r="522">
      <c r="A522" s="752"/>
      <c r="B522" s="751"/>
      <c r="C522" s="753"/>
    </row>
    <row r="523">
      <c r="A523" s="752"/>
      <c r="B523" s="751"/>
      <c r="C523" s="753"/>
    </row>
    <row r="524">
      <c r="A524" s="752"/>
      <c r="B524" s="751"/>
      <c r="C524" s="753"/>
    </row>
    <row r="525">
      <c r="A525" s="752"/>
      <c r="B525" s="751"/>
      <c r="C525" s="753"/>
    </row>
    <row r="526">
      <c r="A526" s="752"/>
      <c r="B526" s="751"/>
      <c r="C526" s="753"/>
    </row>
    <row r="527">
      <c r="A527" s="752"/>
      <c r="B527" s="751"/>
      <c r="C527" s="753"/>
    </row>
    <row r="528">
      <c r="A528" s="752"/>
      <c r="B528" s="751"/>
      <c r="C528" s="753"/>
    </row>
    <row r="529">
      <c r="A529" s="752"/>
      <c r="B529" s="751"/>
      <c r="C529" s="753"/>
    </row>
    <row r="530">
      <c r="A530" s="752"/>
      <c r="B530" s="751"/>
      <c r="C530" s="753"/>
    </row>
    <row r="531">
      <c r="A531" s="752"/>
      <c r="B531" s="751"/>
      <c r="C531" s="753"/>
    </row>
    <row r="532">
      <c r="A532" s="752"/>
      <c r="B532" s="751"/>
      <c r="C532" s="753"/>
    </row>
    <row r="533">
      <c r="A533" s="752"/>
      <c r="B533" s="751"/>
      <c r="C533" s="753"/>
    </row>
    <row r="534">
      <c r="A534" s="752"/>
      <c r="B534" s="751"/>
      <c r="C534" s="753"/>
    </row>
    <row r="535">
      <c r="A535" s="752"/>
      <c r="B535" s="751"/>
      <c r="C535" s="753"/>
    </row>
    <row r="536">
      <c r="A536" s="752"/>
      <c r="B536" s="751"/>
      <c r="C536" s="753"/>
    </row>
    <row r="537">
      <c r="A537" s="752"/>
      <c r="B537" s="751"/>
      <c r="C537" s="753"/>
    </row>
    <row r="538">
      <c r="A538" s="752"/>
      <c r="B538" s="751"/>
      <c r="C538" s="753"/>
    </row>
    <row r="539">
      <c r="A539" s="752"/>
      <c r="B539" s="751"/>
      <c r="C539" s="753"/>
    </row>
    <row r="540">
      <c r="A540" s="752"/>
      <c r="B540" s="751"/>
      <c r="C540" s="753"/>
    </row>
    <row r="541">
      <c r="A541" s="752"/>
      <c r="B541" s="751"/>
      <c r="C541" s="753"/>
    </row>
    <row r="542">
      <c r="A542" s="752"/>
      <c r="B542" s="751"/>
      <c r="C542" s="753"/>
    </row>
    <row r="543">
      <c r="A543" s="752"/>
      <c r="B543" s="751"/>
      <c r="C543" s="753"/>
    </row>
    <row r="544">
      <c r="A544" s="752"/>
      <c r="B544" s="751"/>
      <c r="C544" s="753"/>
    </row>
    <row r="545">
      <c r="A545" s="752"/>
      <c r="B545" s="751"/>
      <c r="C545" s="753"/>
    </row>
    <row r="546">
      <c r="A546" s="752"/>
      <c r="B546" s="751"/>
      <c r="C546" s="753"/>
    </row>
    <row r="547">
      <c r="A547" s="752"/>
      <c r="B547" s="751"/>
      <c r="C547" s="753"/>
    </row>
    <row r="548">
      <c r="A548" s="752"/>
      <c r="B548" s="751"/>
      <c r="C548" s="753"/>
    </row>
    <row r="549">
      <c r="A549" s="752"/>
      <c r="B549" s="751"/>
      <c r="C549" s="753"/>
    </row>
    <row r="550">
      <c r="A550" s="752"/>
      <c r="B550" s="751"/>
      <c r="C550" s="753"/>
    </row>
    <row r="551">
      <c r="A551" s="752"/>
      <c r="B551" s="751"/>
      <c r="C551" s="753"/>
    </row>
    <row r="552">
      <c r="A552" s="752"/>
      <c r="B552" s="751"/>
      <c r="C552" s="753"/>
    </row>
    <row r="553">
      <c r="A553" s="752"/>
      <c r="B553" s="751"/>
      <c r="C553" s="753"/>
    </row>
    <row r="554">
      <c r="A554" s="752"/>
      <c r="B554" s="751"/>
      <c r="C554" s="753"/>
    </row>
    <row r="555">
      <c r="A555" s="752"/>
      <c r="B555" s="751"/>
      <c r="C555" s="753"/>
    </row>
    <row r="556">
      <c r="A556" s="752"/>
      <c r="B556" s="751"/>
      <c r="C556" s="753"/>
    </row>
    <row r="557">
      <c r="A557" s="752"/>
      <c r="B557" s="751"/>
      <c r="C557" s="753"/>
    </row>
    <row r="558">
      <c r="A558" s="752"/>
      <c r="B558" s="751"/>
      <c r="C558" s="753"/>
    </row>
    <row r="559">
      <c r="A559" s="752"/>
      <c r="B559" s="751"/>
      <c r="C559" s="753"/>
    </row>
    <row r="560">
      <c r="A560" s="752"/>
      <c r="B560" s="751"/>
      <c r="C560" s="753"/>
    </row>
    <row r="561">
      <c r="A561" s="752"/>
      <c r="B561" s="751"/>
      <c r="C561" s="753"/>
    </row>
    <row r="562">
      <c r="A562" s="752"/>
      <c r="B562" s="751"/>
      <c r="C562" s="753"/>
    </row>
    <row r="563">
      <c r="A563" s="752"/>
      <c r="B563" s="751"/>
      <c r="C563" s="753"/>
    </row>
    <row r="564">
      <c r="A564" s="752"/>
      <c r="B564" s="751"/>
      <c r="C564" s="753"/>
    </row>
    <row r="565">
      <c r="A565" s="752"/>
      <c r="B565" s="751"/>
      <c r="C565" s="753"/>
    </row>
    <row r="566">
      <c r="A566" s="752"/>
      <c r="B566" s="751"/>
      <c r="C566" s="753"/>
    </row>
    <row r="567">
      <c r="A567" s="752"/>
      <c r="B567" s="751"/>
      <c r="C567" s="753"/>
    </row>
    <row r="568">
      <c r="A568" s="752"/>
      <c r="B568" s="751"/>
      <c r="C568" s="753"/>
    </row>
    <row r="569">
      <c r="A569" s="752"/>
      <c r="B569" s="751"/>
      <c r="C569" s="753"/>
    </row>
    <row r="570">
      <c r="A570" s="752"/>
      <c r="B570" s="751"/>
      <c r="C570" s="753"/>
    </row>
    <row r="571">
      <c r="A571" s="752"/>
      <c r="B571" s="751"/>
      <c r="C571" s="753"/>
    </row>
    <row r="572">
      <c r="A572" s="752"/>
      <c r="B572" s="751"/>
      <c r="C572" s="753"/>
    </row>
    <row r="573">
      <c r="A573" s="752"/>
      <c r="B573" s="751"/>
      <c r="C573" s="753"/>
    </row>
    <row r="574">
      <c r="A574" s="752"/>
      <c r="B574" s="751"/>
      <c r="C574" s="753"/>
    </row>
    <row r="575">
      <c r="A575" s="752"/>
      <c r="B575" s="751"/>
      <c r="C575" s="753"/>
    </row>
    <row r="576">
      <c r="A576" s="752"/>
      <c r="B576" s="751"/>
      <c r="C576" s="753"/>
    </row>
    <row r="577">
      <c r="A577" s="752"/>
      <c r="B577" s="751"/>
      <c r="C577" s="753"/>
    </row>
    <row r="578">
      <c r="A578" s="752"/>
      <c r="B578" s="751"/>
      <c r="C578" s="753"/>
    </row>
    <row r="579">
      <c r="A579" s="752"/>
      <c r="B579" s="751"/>
      <c r="C579" s="753"/>
    </row>
    <row r="580">
      <c r="A580" s="752"/>
      <c r="B580" s="751"/>
      <c r="C580" s="753"/>
    </row>
    <row r="581">
      <c r="A581" s="752"/>
      <c r="B581" s="751"/>
      <c r="C581" s="753"/>
    </row>
    <row r="582">
      <c r="A582" s="752"/>
      <c r="B582" s="751"/>
      <c r="C582" s="753"/>
    </row>
    <row r="583">
      <c r="A583" s="752"/>
      <c r="B583" s="751"/>
      <c r="C583" s="753"/>
    </row>
    <row r="584">
      <c r="A584" s="752"/>
      <c r="B584" s="751"/>
      <c r="C584" s="753"/>
    </row>
    <row r="585">
      <c r="A585" s="752"/>
      <c r="B585" s="751"/>
      <c r="C585" s="753"/>
    </row>
    <row r="586">
      <c r="A586" s="752"/>
      <c r="B586" s="751"/>
      <c r="C586" s="753"/>
    </row>
    <row r="587">
      <c r="A587" s="752"/>
      <c r="B587" s="751"/>
      <c r="C587" s="753"/>
    </row>
    <row r="588">
      <c r="A588" s="752"/>
      <c r="B588" s="751"/>
      <c r="C588" s="753"/>
    </row>
    <row r="589">
      <c r="A589" s="752"/>
      <c r="B589" s="751"/>
      <c r="C589" s="753"/>
    </row>
    <row r="590">
      <c r="A590" s="752"/>
      <c r="B590" s="751"/>
      <c r="C590" s="753"/>
    </row>
    <row r="591">
      <c r="A591" s="752"/>
      <c r="B591" s="751"/>
      <c r="C591" s="753"/>
    </row>
    <row r="592">
      <c r="A592" s="752"/>
      <c r="B592" s="751"/>
      <c r="C592" s="753"/>
    </row>
    <row r="593">
      <c r="A593" s="752"/>
      <c r="B593" s="751"/>
      <c r="C593" s="753"/>
    </row>
    <row r="594">
      <c r="A594" s="752"/>
      <c r="B594" s="751"/>
      <c r="C594" s="753"/>
    </row>
    <row r="595">
      <c r="A595" s="752"/>
      <c r="B595" s="751"/>
      <c r="C595" s="753"/>
    </row>
    <row r="596">
      <c r="A596" s="752"/>
      <c r="B596" s="751"/>
      <c r="C596" s="753"/>
    </row>
    <row r="597">
      <c r="A597" s="752"/>
      <c r="B597" s="751"/>
      <c r="C597" s="753"/>
    </row>
    <row r="598">
      <c r="A598" s="752"/>
      <c r="B598" s="751"/>
      <c r="C598" s="753"/>
    </row>
    <row r="599">
      <c r="A599" s="752"/>
      <c r="B599" s="751"/>
      <c r="C599" s="753"/>
    </row>
    <row r="600">
      <c r="A600" s="752"/>
      <c r="B600" s="751"/>
      <c r="C600" s="753"/>
    </row>
    <row r="601">
      <c r="A601" s="752"/>
      <c r="B601" s="751"/>
      <c r="C601" s="753"/>
    </row>
    <row r="602">
      <c r="A602" s="752"/>
      <c r="B602" s="751"/>
      <c r="C602" s="753"/>
    </row>
    <row r="603">
      <c r="A603" s="752"/>
      <c r="B603" s="751"/>
      <c r="C603" s="753"/>
    </row>
    <row r="604">
      <c r="A604" s="752"/>
      <c r="B604" s="751"/>
      <c r="C604" s="753"/>
    </row>
    <row r="605">
      <c r="A605" s="752"/>
      <c r="B605" s="751"/>
      <c r="C605" s="753"/>
    </row>
    <row r="606">
      <c r="A606" s="752"/>
      <c r="B606" s="751"/>
      <c r="C606" s="753"/>
    </row>
    <row r="607">
      <c r="A607" s="752"/>
      <c r="B607" s="751"/>
      <c r="C607" s="753"/>
    </row>
    <row r="608">
      <c r="A608" s="752"/>
      <c r="B608" s="751"/>
      <c r="C608" s="753"/>
    </row>
    <row r="609">
      <c r="A609" s="752"/>
      <c r="B609" s="751"/>
      <c r="C609" s="753"/>
    </row>
    <row r="610">
      <c r="A610" s="752"/>
      <c r="B610" s="751"/>
      <c r="C610" s="753"/>
    </row>
    <row r="611">
      <c r="A611" s="752"/>
      <c r="B611" s="751"/>
      <c r="C611" s="753"/>
    </row>
    <row r="612">
      <c r="A612" s="752"/>
      <c r="B612" s="751"/>
      <c r="C612" s="753"/>
    </row>
    <row r="613">
      <c r="A613" s="752"/>
      <c r="B613" s="751"/>
      <c r="C613" s="753"/>
    </row>
    <row r="614">
      <c r="A614" s="752"/>
      <c r="B614" s="751"/>
      <c r="C614" s="753"/>
    </row>
    <row r="615">
      <c r="A615" s="752"/>
      <c r="B615" s="751"/>
      <c r="C615" s="753"/>
    </row>
    <row r="616">
      <c r="A616" s="752"/>
      <c r="B616" s="751"/>
      <c r="C616" s="753"/>
    </row>
    <row r="617">
      <c r="A617" s="752"/>
      <c r="B617" s="751"/>
      <c r="C617" s="753"/>
    </row>
    <row r="618">
      <c r="A618" s="752"/>
      <c r="B618" s="751"/>
      <c r="C618" s="753"/>
    </row>
    <row r="619">
      <c r="A619" s="752"/>
      <c r="B619" s="751"/>
      <c r="C619" s="753"/>
    </row>
    <row r="620">
      <c r="A620" s="752"/>
      <c r="B620" s="751"/>
      <c r="C620" s="753"/>
    </row>
    <row r="621">
      <c r="A621" s="752"/>
      <c r="B621" s="751"/>
      <c r="C621" s="753"/>
    </row>
    <row r="622">
      <c r="A622" s="752"/>
      <c r="B622" s="751"/>
      <c r="C622" s="753"/>
    </row>
    <row r="623">
      <c r="A623" s="752"/>
      <c r="B623" s="751"/>
      <c r="C623" s="753"/>
    </row>
    <row r="624">
      <c r="A624" s="752"/>
      <c r="B624" s="751"/>
      <c r="C624" s="753"/>
    </row>
    <row r="625">
      <c r="A625" s="752"/>
      <c r="B625" s="751"/>
      <c r="C625" s="753"/>
    </row>
    <row r="626">
      <c r="A626" s="752"/>
      <c r="B626" s="751"/>
      <c r="C626" s="753"/>
    </row>
    <row r="627">
      <c r="A627" s="752"/>
      <c r="B627" s="751"/>
      <c r="C627" s="753"/>
    </row>
    <row r="628">
      <c r="A628" s="752"/>
      <c r="B628" s="751"/>
      <c r="C628" s="753"/>
    </row>
    <row r="629">
      <c r="A629" s="752"/>
      <c r="B629" s="751"/>
      <c r="C629" s="753"/>
    </row>
    <row r="630">
      <c r="A630" s="752"/>
      <c r="B630" s="751"/>
      <c r="C630" s="753"/>
    </row>
    <row r="631">
      <c r="A631" s="752"/>
      <c r="B631" s="751"/>
      <c r="C631" s="753"/>
    </row>
    <row r="632">
      <c r="A632" s="752"/>
      <c r="B632" s="751"/>
      <c r="C632" s="753"/>
    </row>
    <row r="633">
      <c r="A633" s="752"/>
      <c r="B633" s="751"/>
      <c r="C633" s="753"/>
    </row>
    <row r="634">
      <c r="A634" s="752"/>
      <c r="B634" s="751"/>
      <c r="C634" s="753"/>
    </row>
    <row r="635">
      <c r="A635" s="752"/>
      <c r="B635" s="751"/>
      <c r="C635" s="753"/>
    </row>
    <row r="636">
      <c r="A636" s="752"/>
      <c r="B636" s="751"/>
      <c r="C636" s="753"/>
    </row>
    <row r="637">
      <c r="A637" s="752"/>
      <c r="B637" s="751"/>
      <c r="C637" s="753"/>
    </row>
    <row r="638">
      <c r="A638" s="752"/>
      <c r="B638" s="751"/>
      <c r="C638" s="753"/>
    </row>
    <row r="639">
      <c r="A639" s="752"/>
      <c r="B639" s="751"/>
      <c r="C639" s="753"/>
    </row>
    <row r="640">
      <c r="A640" s="752"/>
      <c r="B640" s="751"/>
      <c r="C640" s="753"/>
    </row>
    <row r="641">
      <c r="A641" s="752"/>
      <c r="B641" s="751"/>
      <c r="C641" s="753"/>
    </row>
    <row r="642">
      <c r="A642" s="752"/>
      <c r="B642" s="751"/>
      <c r="C642" s="753"/>
    </row>
    <row r="643">
      <c r="A643" s="752"/>
      <c r="B643" s="751"/>
      <c r="C643" s="753"/>
    </row>
    <row r="644">
      <c r="A644" s="752"/>
      <c r="B644" s="751"/>
      <c r="C644" s="753"/>
    </row>
    <row r="645">
      <c r="A645" s="752"/>
      <c r="B645" s="751"/>
      <c r="C645" s="753"/>
    </row>
    <row r="646">
      <c r="A646" s="752"/>
      <c r="B646" s="751"/>
      <c r="C646" s="753"/>
    </row>
    <row r="647">
      <c r="A647" s="752"/>
      <c r="B647" s="751"/>
      <c r="C647" s="753"/>
    </row>
    <row r="648">
      <c r="A648" s="752"/>
      <c r="B648" s="751"/>
      <c r="C648" s="753"/>
    </row>
    <row r="649">
      <c r="A649" s="752"/>
      <c r="B649" s="751"/>
      <c r="C649" s="753"/>
    </row>
    <row r="650">
      <c r="A650" s="752"/>
      <c r="B650" s="751"/>
      <c r="C650" s="753"/>
    </row>
    <row r="651">
      <c r="A651" s="752"/>
      <c r="B651" s="751"/>
      <c r="C651" s="753"/>
    </row>
    <row r="652">
      <c r="A652" s="752"/>
      <c r="B652" s="751"/>
      <c r="C652" s="753"/>
    </row>
    <row r="653">
      <c r="A653" s="752"/>
      <c r="B653" s="751"/>
      <c r="C653" s="753"/>
    </row>
    <row r="654">
      <c r="A654" s="752"/>
      <c r="B654" s="751"/>
      <c r="C654" s="753"/>
    </row>
    <row r="655">
      <c r="A655" s="752"/>
      <c r="B655" s="751"/>
      <c r="C655" s="753"/>
    </row>
    <row r="656">
      <c r="A656" s="752"/>
      <c r="B656" s="751"/>
      <c r="C656" s="753"/>
    </row>
    <row r="657">
      <c r="A657" s="752"/>
      <c r="B657" s="751"/>
      <c r="C657" s="753"/>
    </row>
    <row r="658">
      <c r="A658" s="752"/>
      <c r="B658" s="751"/>
      <c r="C658" s="753"/>
    </row>
    <row r="659">
      <c r="A659" s="752"/>
      <c r="B659" s="751"/>
      <c r="C659" s="753"/>
    </row>
    <row r="660">
      <c r="A660" s="752"/>
      <c r="B660" s="751"/>
      <c r="C660" s="753"/>
    </row>
    <row r="661">
      <c r="A661" s="752"/>
      <c r="B661" s="751"/>
      <c r="C661" s="753"/>
    </row>
    <row r="662">
      <c r="A662" s="752"/>
      <c r="B662" s="751"/>
      <c r="C662" s="753"/>
    </row>
    <row r="663">
      <c r="A663" s="752"/>
      <c r="B663" s="751"/>
      <c r="C663" s="753"/>
    </row>
    <row r="664">
      <c r="A664" s="752"/>
      <c r="B664" s="751"/>
      <c r="C664" s="753"/>
    </row>
    <row r="665">
      <c r="A665" s="752"/>
      <c r="B665" s="751"/>
      <c r="C665" s="753"/>
    </row>
    <row r="666">
      <c r="A666" s="752"/>
      <c r="B666" s="751"/>
      <c r="C666" s="753"/>
    </row>
    <row r="667">
      <c r="A667" s="752"/>
      <c r="B667" s="751"/>
      <c r="C667" s="753"/>
    </row>
    <row r="668">
      <c r="A668" s="752"/>
      <c r="B668" s="751"/>
      <c r="C668" s="753"/>
    </row>
    <row r="669">
      <c r="A669" s="752"/>
      <c r="B669" s="751"/>
      <c r="C669" s="753"/>
    </row>
    <row r="670">
      <c r="A670" s="752"/>
      <c r="B670" s="751"/>
      <c r="C670" s="753"/>
    </row>
    <row r="671">
      <c r="A671" s="752"/>
      <c r="B671" s="751"/>
      <c r="C671" s="753"/>
    </row>
    <row r="672">
      <c r="A672" s="752"/>
      <c r="B672" s="751"/>
      <c r="C672" s="753"/>
    </row>
    <row r="673">
      <c r="A673" s="752"/>
      <c r="B673" s="751"/>
      <c r="C673" s="753"/>
    </row>
    <row r="674">
      <c r="A674" s="752"/>
      <c r="B674" s="751"/>
      <c r="C674" s="753"/>
    </row>
    <row r="675">
      <c r="A675" s="752"/>
      <c r="B675" s="751"/>
      <c r="C675" s="753"/>
    </row>
    <row r="676">
      <c r="A676" s="752"/>
      <c r="B676" s="751"/>
      <c r="C676" s="753"/>
    </row>
    <row r="677">
      <c r="A677" s="752"/>
      <c r="B677" s="751"/>
      <c r="C677" s="753"/>
    </row>
    <row r="678">
      <c r="A678" s="752"/>
      <c r="B678" s="751"/>
      <c r="C678" s="753"/>
    </row>
    <row r="679">
      <c r="A679" s="752"/>
      <c r="B679" s="751"/>
      <c r="C679" s="753"/>
    </row>
    <row r="680">
      <c r="A680" s="752"/>
      <c r="B680" s="751"/>
      <c r="C680" s="753"/>
    </row>
    <row r="681">
      <c r="A681" s="752"/>
      <c r="B681" s="751"/>
      <c r="C681" s="753"/>
    </row>
    <row r="682">
      <c r="A682" s="752"/>
      <c r="B682" s="751"/>
      <c r="C682" s="753"/>
    </row>
    <row r="683">
      <c r="A683" s="752"/>
      <c r="B683" s="751"/>
      <c r="C683" s="753"/>
    </row>
    <row r="684">
      <c r="A684" s="752"/>
      <c r="B684" s="751"/>
      <c r="C684" s="753"/>
    </row>
    <row r="685">
      <c r="A685" s="752"/>
      <c r="B685" s="751"/>
      <c r="C685" s="753"/>
    </row>
    <row r="686">
      <c r="A686" s="752"/>
      <c r="B686" s="751"/>
      <c r="C686" s="753"/>
    </row>
    <row r="687">
      <c r="A687" s="752"/>
      <c r="B687" s="751"/>
      <c r="C687" s="753"/>
    </row>
    <row r="688">
      <c r="A688" s="752"/>
      <c r="B688" s="751"/>
      <c r="C688" s="753"/>
    </row>
    <row r="689">
      <c r="A689" s="752"/>
      <c r="B689" s="751"/>
      <c r="C689" s="753"/>
    </row>
    <row r="690">
      <c r="A690" s="752"/>
      <c r="B690" s="751"/>
      <c r="C690" s="753"/>
    </row>
    <row r="691">
      <c r="A691" s="752"/>
      <c r="B691" s="751"/>
      <c r="C691" s="753"/>
    </row>
    <row r="692">
      <c r="A692" s="752"/>
      <c r="B692" s="751"/>
      <c r="C692" s="753"/>
    </row>
    <row r="693">
      <c r="A693" s="752"/>
      <c r="B693" s="751"/>
      <c r="C693" s="753"/>
    </row>
    <row r="694">
      <c r="A694" s="752"/>
      <c r="B694" s="751"/>
      <c r="C694" s="753"/>
    </row>
    <row r="695">
      <c r="A695" s="752"/>
      <c r="B695" s="751"/>
      <c r="C695" s="753"/>
    </row>
    <row r="696">
      <c r="A696" s="752"/>
      <c r="B696" s="751"/>
      <c r="C696" s="753"/>
    </row>
    <row r="697">
      <c r="A697" s="752"/>
      <c r="B697" s="751"/>
      <c r="C697" s="753"/>
    </row>
    <row r="698">
      <c r="A698" s="752"/>
      <c r="B698" s="751"/>
      <c r="C698" s="753"/>
    </row>
    <row r="699">
      <c r="A699" s="752"/>
      <c r="B699" s="751"/>
      <c r="C699" s="753"/>
    </row>
    <row r="700">
      <c r="A700" s="752"/>
      <c r="B700" s="751"/>
      <c r="C700" s="753"/>
    </row>
    <row r="701">
      <c r="A701" s="752"/>
      <c r="B701" s="751"/>
      <c r="C701" s="753"/>
    </row>
    <row r="702">
      <c r="A702" s="752"/>
      <c r="B702" s="751"/>
      <c r="C702" s="753"/>
    </row>
    <row r="703">
      <c r="A703" s="752"/>
      <c r="B703" s="751"/>
      <c r="C703" s="753"/>
    </row>
    <row r="704">
      <c r="A704" s="752"/>
      <c r="B704" s="751"/>
      <c r="C704" s="753"/>
    </row>
    <row r="705">
      <c r="A705" s="752"/>
      <c r="B705" s="751"/>
      <c r="C705" s="753"/>
    </row>
    <row r="706">
      <c r="A706" s="752"/>
      <c r="B706" s="751"/>
      <c r="C706" s="753"/>
    </row>
    <row r="707">
      <c r="A707" s="752"/>
      <c r="B707" s="751"/>
      <c r="C707" s="753"/>
    </row>
    <row r="708">
      <c r="A708" s="752"/>
      <c r="B708" s="751"/>
      <c r="C708" s="753"/>
    </row>
    <row r="709">
      <c r="A709" s="752"/>
      <c r="B709" s="751"/>
      <c r="C709" s="753"/>
    </row>
    <row r="710">
      <c r="A710" s="752"/>
      <c r="B710" s="751"/>
      <c r="C710" s="753"/>
    </row>
    <row r="711">
      <c r="A711" s="752"/>
      <c r="B711" s="751"/>
      <c r="C711" s="753"/>
    </row>
    <row r="712">
      <c r="A712" s="752"/>
      <c r="B712" s="751"/>
      <c r="C712" s="753"/>
    </row>
    <row r="713">
      <c r="A713" s="752"/>
      <c r="B713" s="751"/>
      <c r="C713" s="753"/>
    </row>
    <row r="714">
      <c r="A714" s="752"/>
      <c r="B714" s="751"/>
      <c r="C714" s="753"/>
    </row>
    <row r="715">
      <c r="A715" s="752"/>
      <c r="B715" s="751"/>
      <c r="C715" s="753"/>
    </row>
    <row r="716">
      <c r="A716" s="752"/>
      <c r="B716" s="751"/>
      <c r="C716" s="753"/>
    </row>
    <row r="717">
      <c r="A717" s="752"/>
      <c r="B717" s="751"/>
      <c r="C717" s="753"/>
    </row>
    <row r="718">
      <c r="A718" s="752"/>
      <c r="B718" s="751"/>
      <c r="C718" s="753"/>
    </row>
    <row r="719">
      <c r="A719" s="752"/>
      <c r="B719" s="751"/>
      <c r="C719" s="753"/>
    </row>
    <row r="720">
      <c r="A720" s="752"/>
      <c r="B720" s="751"/>
      <c r="C720" s="753"/>
    </row>
    <row r="721">
      <c r="A721" s="752"/>
      <c r="B721" s="751"/>
      <c r="C721" s="753"/>
    </row>
    <row r="722">
      <c r="A722" s="752"/>
      <c r="B722" s="751"/>
      <c r="C722" s="753"/>
    </row>
    <row r="723">
      <c r="A723" s="752"/>
      <c r="B723" s="751"/>
      <c r="C723" s="753"/>
    </row>
    <row r="724">
      <c r="A724" s="752"/>
      <c r="B724" s="751"/>
      <c r="C724" s="753"/>
    </row>
    <row r="725">
      <c r="A725" s="752"/>
      <c r="B725" s="751"/>
      <c r="C725" s="753"/>
    </row>
    <row r="726">
      <c r="A726" s="752"/>
      <c r="B726" s="751"/>
      <c r="C726" s="753"/>
    </row>
    <row r="727">
      <c r="A727" s="752"/>
      <c r="B727" s="751"/>
      <c r="C727" s="753"/>
    </row>
    <row r="728">
      <c r="A728" s="752"/>
      <c r="B728" s="751"/>
      <c r="C728" s="753"/>
    </row>
    <row r="729">
      <c r="A729" s="752"/>
      <c r="B729" s="751"/>
      <c r="C729" s="753"/>
    </row>
    <row r="730">
      <c r="A730" s="752"/>
      <c r="B730" s="751"/>
      <c r="C730" s="753"/>
    </row>
    <row r="731">
      <c r="A731" s="752"/>
      <c r="B731" s="751"/>
      <c r="C731" s="753"/>
    </row>
    <row r="732">
      <c r="A732" s="752"/>
      <c r="B732" s="751"/>
      <c r="C732" s="753"/>
    </row>
    <row r="733">
      <c r="A733" s="752"/>
      <c r="B733" s="751"/>
      <c r="C733" s="753"/>
    </row>
    <row r="734">
      <c r="A734" s="752"/>
      <c r="B734" s="751"/>
      <c r="C734" s="753"/>
    </row>
    <row r="735">
      <c r="A735" s="752"/>
      <c r="B735" s="751"/>
      <c r="C735" s="753"/>
    </row>
    <row r="736">
      <c r="A736" s="752"/>
      <c r="B736" s="751"/>
      <c r="C736" s="753"/>
    </row>
    <row r="737">
      <c r="A737" s="752"/>
      <c r="B737" s="751"/>
      <c r="C737" s="753"/>
    </row>
    <row r="738">
      <c r="A738" s="752"/>
      <c r="B738" s="751"/>
      <c r="C738" s="753"/>
    </row>
    <row r="739">
      <c r="A739" s="752"/>
      <c r="B739" s="751"/>
      <c r="C739" s="753"/>
    </row>
    <row r="740">
      <c r="A740" s="752"/>
      <c r="B740" s="751"/>
      <c r="C740" s="753"/>
    </row>
    <row r="741">
      <c r="A741" s="752"/>
      <c r="B741" s="751"/>
      <c r="C741" s="753"/>
    </row>
    <row r="742">
      <c r="A742" s="752"/>
      <c r="B742" s="751"/>
      <c r="C742" s="753"/>
    </row>
    <row r="743">
      <c r="A743" s="752"/>
      <c r="B743" s="751"/>
      <c r="C743" s="753"/>
    </row>
    <row r="744">
      <c r="A744" s="752"/>
      <c r="B744" s="751"/>
      <c r="C744" s="753"/>
    </row>
    <row r="745">
      <c r="A745" s="752"/>
      <c r="B745" s="751"/>
      <c r="C745" s="753"/>
    </row>
    <row r="746">
      <c r="A746" s="752"/>
      <c r="B746" s="751"/>
      <c r="C746" s="753"/>
    </row>
    <row r="747">
      <c r="A747" s="752"/>
      <c r="B747" s="751"/>
      <c r="C747" s="753"/>
    </row>
    <row r="748">
      <c r="A748" s="752"/>
      <c r="B748" s="751"/>
      <c r="C748" s="753"/>
    </row>
    <row r="749">
      <c r="A749" s="752"/>
      <c r="B749" s="751"/>
      <c r="C749" s="753"/>
    </row>
    <row r="750">
      <c r="A750" s="752"/>
      <c r="B750" s="751"/>
      <c r="C750" s="753"/>
    </row>
    <row r="751">
      <c r="A751" s="752"/>
      <c r="B751" s="751"/>
      <c r="C751" s="753"/>
    </row>
    <row r="752">
      <c r="A752" s="752"/>
      <c r="B752" s="751"/>
      <c r="C752" s="753"/>
    </row>
    <row r="753">
      <c r="A753" s="752"/>
      <c r="B753" s="751"/>
      <c r="C753" s="753"/>
    </row>
    <row r="754">
      <c r="A754" s="752"/>
      <c r="B754" s="751"/>
      <c r="C754" s="753"/>
    </row>
    <row r="755">
      <c r="A755" s="752"/>
      <c r="B755" s="751"/>
      <c r="C755" s="753"/>
    </row>
    <row r="756">
      <c r="A756" s="752"/>
      <c r="B756" s="751"/>
      <c r="C756" s="753"/>
    </row>
    <row r="757">
      <c r="A757" s="752"/>
      <c r="B757" s="751"/>
      <c r="C757" s="753"/>
    </row>
    <row r="758">
      <c r="A758" s="752"/>
      <c r="B758" s="751"/>
      <c r="C758" s="753"/>
    </row>
    <row r="759">
      <c r="A759" s="752"/>
      <c r="B759" s="751"/>
      <c r="C759" s="753"/>
    </row>
    <row r="760">
      <c r="A760" s="752"/>
      <c r="B760" s="751"/>
      <c r="C760" s="753"/>
    </row>
    <row r="761">
      <c r="A761" s="752"/>
      <c r="B761" s="751"/>
      <c r="C761" s="753"/>
    </row>
    <row r="762">
      <c r="A762" s="752"/>
      <c r="B762" s="751"/>
      <c r="C762" s="753"/>
    </row>
    <row r="763">
      <c r="A763" s="752"/>
      <c r="B763" s="751"/>
      <c r="C763" s="753"/>
    </row>
    <row r="764">
      <c r="A764" s="752"/>
      <c r="B764" s="751"/>
      <c r="C764" s="753"/>
    </row>
    <row r="765">
      <c r="A765" s="752"/>
      <c r="B765" s="751"/>
      <c r="C765" s="753"/>
    </row>
    <row r="766">
      <c r="A766" s="752"/>
      <c r="B766" s="751"/>
      <c r="C766" s="753"/>
    </row>
    <row r="767">
      <c r="A767" s="752"/>
      <c r="B767" s="751"/>
      <c r="C767" s="753"/>
    </row>
    <row r="768">
      <c r="A768" s="752"/>
      <c r="B768" s="751"/>
      <c r="C768" s="753"/>
    </row>
    <row r="769">
      <c r="A769" s="752"/>
      <c r="B769" s="751"/>
      <c r="C769" s="753"/>
    </row>
    <row r="770">
      <c r="A770" s="752"/>
      <c r="B770" s="751"/>
      <c r="C770" s="753"/>
    </row>
    <row r="771">
      <c r="A771" s="752"/>
      <c r="B771" s="751"/>
      <c r="C771" s="753"/>
    </row>
    <row r="772">
      <c r="A772" s="752"/>
      <c r="B772" s="751"/>
      <c r="C772" s="753"/>
    </row>
    <row r="773">
      <c r="A773" s="752"/>
      <c r="B773" s="751"/>
      <c r="C773" s="753"/>
    </row>
    <row r="774">
      <c r="A774" s="752"/>
      <c r="B774" s="751"/>
      <c r="C774" s="753"/>
    </row>
    <row r="775">
      <c r="A775" s="752"/>
      <c r="B775" s="751"/>
      <c r="C775" s="753"/>
    </row>
    <row r="776">
      <c r="A776" s="752"/>
      <c r="B776" s="751"/>
      <c r="C776" s="753"/>
    </row>
    <row r="777">
      <c r="A777" s="752"/>
      <c r="B777" s="751"/>
      <c r="C777" s="753"/>
    </row>
    <row r="778">
      <c r="A778" s="752"/>
      <c r="B778" s="751"/>
      <c r="C778" s="753"/>
    </row>
    <row r="779">
      <c r="A779" s="752"/>
      <c r="B779" s="751"/>
      <c r="C779" s="753"/>
    </row>
    <row r="780">
      <c r="A780" s="752"/>
      <c r="B780" s="751"/>
      <c r="C780" s="753"/>
    </row>
    <row r="781">
      <c r="A781" s="752"/>
      <c r="B781" s="751"/>
      <c r="C781" s="753"/>
    </row>
    <row r="782">
      <c r="A782" s="752"/>
      <c r="B782" s="751"/>
      <c r="C782" s="753"/>
    </row>
    <row r="783">
      <c r="A783" s="752"/>
      <c r="B783" s="751"/>
      <c r="C783" s="753"/>
    </row>
    <row r="784">
      <c r="A784" s="752"/>
      <c r="B784" s="751"/>
      <c r="C784" s="753"/>
    </row>
    <row r="785">
      <c r="A785" s="752"/>
      <c r="B785" s="751"/>
      <c r="C785" s="753"/>
    </row>
    <row r="786">
      <c r="A786" s="752"/>
      <c r="B786" s="751"/>
      <c r="C786" s="753"/>
    </row>
    <row r="787">
      <c r="A787" s="752"/>
      <c r="B787" s="751"/>
      <c r="C787" s="753"/>
    </row>
    <row r="788">
      <c r="A788" s="752"/>
      <c r="B788" s="751"/>
      <c r="C788" s="753"/>
    </row>
    <row r="789">
      <c r="A789" s="752"/>
      <c r="B789" s="751"/>
      <c r="C789" s="753"/>
    </row>
    <row r="790">
      <c r="A790" s="752"/>
      <c r="B790" s="751"/>
      <c r="C790" s="753"/>
    </row>
    <row r="791">
      <c r="A791" s="752"/>
      <c r="B791" s="751"/>
      <c r="C791" s="753"/>
    </row>
    <row r="792">
      <c r="A792" s="752"/>
      <c r="B792" s="751"/>
      <c r="C792" s="753"/>
    </row>
    <row r="793">
      <c r="A793" s="752"/>
      <c r="B793" s="751"/>
      <c r="C793" s="753"/>
    </row>
    <row r="794">
      <c r="A794" s="752"/>
      <c r="B794" s="751"/>
      <c r="C794" s="753"/>
    </row>
    <row r="795">
      <c r="A795" s="752"/>
      <c r="B795" s="751"/>
      <c r="C795" s="753"/>
    </row>
    <row r="796">
      <c r="A796" s="752"/>
      <c r="B796" s="751"/>
      <c r="C796" s="753"/>
    </row>
    <row r="797">
      <c r="A797" s="752"/>
      <c r="B797" s="751"/>
      <c r="C797" s="753"/>
    </row>
    <row r="798">
      <c r="A798" s="752"/>
      <c r="B798" s="751"/>
      <c r="C798" s="753"/>
    </row>
    <row r="799">
      <c r="A799" s="752"/>
      <c r="B799" s="751"/>
      <c r="C799" s="753"/>
    </row>
    <row r="800">
      <c r="A800" s="752"/>
      <c r="B800" s="751"/>
      <c r="C800" s="753"/>
    </row>
    <row r="801">
      <c r="A801" s="752"/>
      <c r="B801" s="751"/>
      <c r="C801" s="753"/>
    </row>
    <row r="802">
      <c r="A802" s="752"/>
      <c r="B802" s="751"/>
      <c r="C802" s="753"/>
    </row>
    <row r="803">
      <c r="A803" s="752"/>
      <c r="B803" s="751"/>
      <c r="C803" s="753"/>
    </row>
    <row r="804">
      <c r="A804" s="752"/>
      <c r="B804" s="751"/>
      <c r="C804" s="753"/>
    </row>
    <row r="805">
      <c r="A805" s="752"/>
      <c r="B805" s="751"/>
      <c r="C805" s="753"/>
    </row>
    <row r="806">
      <c r="A806" s="752"/>
      <c r="B806" s="751"/>
      <c r="C806" s="753"/>
    </row>
    <row r="807">
      <c r="A807" s="752"/>
      <c r="B807" s="751"/>
      <c r="C807" s="753"/>
    </row>
    <row r="808">
      <c r="A808" s="752"/>
      <c r="B808" s="751"/>
      <c r="C808" s="753"/>
    </row>
    <row r="809">
      <c r="A809" s="752"/>
      <c r="B809" s="751"/>
      <c r="C809" s="753"/>
    </row>
    <row r="810">
      <c r="A810" s="752"/>
      <c r="B810" s="751"/>
      <c r="C810" s="753"/>
    </row>
    <row r="811">
      <c r="A811" s="752"/>
      <c r="B811" s="751"/>
      <c r="C811" s="753"/>
    </row>
    <row r="812">
      <c r="A812" s="752"/>
      <c r="B812" s="751"/>
      <c r="C812" s="753"/>
    </row>
    <row r="813">
      <c r="A813" s="752"/>
      <c r="B813" s="751"/>
      <c r="C813" s="753"/>
    </row>
    <row r="814">
      <c r="A814" s="752"/>
      <c r="B814" s="751"/>
      <c r="C814" s="753"/>
    </row>
    <row r="815">
      <c r="A815" s="752"/>
      <c r="B815" s="751"/>
      <c r="C815" s="753"/>
    </row>
    <row r="816">
      <c r="A816" s="752"/>
      <c r="B816" s="751"/>
      <c r="C816" s="753"/>
    </row>
    <row r="817">
      <c r="A817" s="752"/>
      <c r="B817" s="751"/>
      <c r="C817" s="753"/>
    </row>
    <row r="818">
      <c r="A818" s="752"/>
      <c r="B818" s="751"/>
      <c r="C818" s="753"/>
    </row>
    <row r="819">
      <c r="A819" s="752"/>
      <c r="B819" s="751"/>
      <c r="C819" s="753"/>
    </row>
    <row r="820">
      <c r="A820" s="752"/>
      <c r="B820" s="751"/>
      <c r="C820" s="753"/>
    </row>
    <row r="821">
      <c r="A821" s="752"/>
      <c r="B821" s="751"/>
      <c r="C821" s="753"/>
    </row>
    <row r="822">
      <c r="A822" s="752"/>
      <c r="B822" s="751"/>
      <c r="C822" s="753"/>
    </row>
    <row r="823">
      <c r="A823" s="752"/>
      <c r="B823" s="751"/>
      <c r="C823" s="753"/>
    </row>
    <row r="824">
      <c r="A824" s="752"/>
      <c r="B824" s="751"/>
      <c r="C824" s="753"/>
    </row>
    <row r="825">
      <c r="A825" s="752"/>
      <c r="B825" s="751"/>
      <c r="C825" s="753"/>
    </row>
    <row r="826">
      <c r="A826" s="752"/>
      <c r="B826" s="751"/>
      <c r="C826" s="753"/>
    </row>
    <row r="827">
      <c r="A827" s="752"/>
      <c r="B827" s="751"/>
      <c r="C827" s="753"/>
    </row>
    <row r="828">
      <c r="A828" s="752"/>
      <c r="B828" s="751"/>
      <c r="C828" s="753"/>
    </row>
    <row r="829">
      <c r="A829" s="752"/>
      <c r="B829" s="751"/>
      <c r="C829" s="753"/>
    </row>
    <row r="830">
      <c r="A830" s="752"/>
      <c r="B830" s="751"/>
      <c r="C830" s="753"/>
    </row>
    <row r="831">
      <c r="A831" s="752"/>
      <c r="B831" s="751"/>
      <c r="C831" s="753"/>
    </row>
    <row r="832">
      <c r="A832" s="752"/>
      <c r="B832" s="751"/>
      <c r="C832" s="753"/>
    </row>
    <row r="833">
      <c r="A833" s="752"/>
      <c r="B833" s="751"/>
      <c r="C833" s="753"/>
    </row>
    <row r="834">
      <c r="A834" s="752"/>
      <c r="B834" s="751"/>
      <c r="C834" s="753"/>
    </row>
    <row r="835">
      <c r="A835" s="752"/>
      <c r="B835" s="751"/>
      <c r="C835" s="753"/>
    </row>
    <row r="836">
      <c r="A836" s="752"/>
      <c r="B836" s="751"/>
      <c r="C836" s="753"/>
    </row>
    <row r="837">
      <c r="A837" s="752"/>
      <c r="B837" s="751"/>
      <c r="C837" s="753"/>
    </row>
    <row r="838">
      <c r="A838" s="752"/>
      <c r="B838" s="751"/>
      <c r="C838" s="753"/>
    </row>
    <row r="839">
      <c r="A839" s="752"/>
      <c r="B839" s="751"/>
      <c r="C839" s="753"/>
    </row>
    <row r="840">
      <c r="A840" s="752"/>
      <c r="B840" s="751"/>
      <c r="C840" s="753"/>
    </row>
    <row r="841">
      <c r="A841" s="752"/>
      <c r="B841" s="751"/>
      <c r="C841" s="753"/>
    </row>
    <row r="842">
      <c r="A842" s="752"/>
      <c r="B842" s="751"/>
      <c r="C842" s="753"/>
    </row>
    <row r="843">
      <c r="A843" s="752"/>
      <c r="B843" s="751"/>
      <c r="C843" s="753"/>
    </row>
    <row r="844">
      <c r="A844" s="752"/>
      <c r="B844" s="751"/>
      <c r="C844" s="753"/>
    </row>
    <row r="845">
      <c r="A845" s="752"/>
      <c r="B845" s="751"/>
      <c r="C845" s="753"/>
    </row>
    <row r="846">
      <c r="A846" s="752"/>
      <c r="B846" s="751"/>
      <c r="C846" s="753"/>
    </row>
    <row r="847">
      <c r="A847" s="752"/>
      <c r="B847" s="751"/>
      <c r="C847" s="753"/>
    </row>
    <row r="848">
      <c r="A848" s="752"/>
      <c r="B848" s="751"/>
      <c r="C848" s="753"/>
    </row>
    <row r="849">
      <c r="A849" s="752"/>
      <c r="B849" s="751"/>
      <c r="C849" s="753"/>
    </row>
    <row r="850">
      <c r="A850" s="752"/>
      <c r="B850" s="751"/>
      <c r="C850" s="753"/>
    </row>
    <row r="851">
      <c r="A851" s="752"/>
      <c r="B851" s="751"/>
      <c r="C851" s="753"/>
    </row>
    <row r="852">
      <c r="A852" s="752"/>
      <c r="B852" s="751"/>
      <c r="C852" s="753"/>
    </row>
    <row r="853">
      <c r="A853" s="752"/>
      <c r="B853" s="751"/>
      <c r="C853" s="753"/>
    </row>
    <row r="854">
      <c r="A854" s="752"/>
      <c r="B854" s="751"/>
      <c r="C854" s="753"/>
    </row>
    <row r="855">
      <c r="A855" s="752"/>
      <c r="B855" s="751"/>
      <c r="C855" s="753"/>
    </row>
    <row r="856">
      <c r="A856" s="752"/>
      <c r="B856" s="751"/>
      <c r="C856" s="753"/>
    </row>
    <row r="857">
      <c r="A857" s="752"/>
      <c r="B857" s="751"/>
      <c r="C857" s="753"/>
    </row>
    <row r="858">
      <c r="A858" s="752"/>
      <c r="B858" s="751"/>
      <c r="C858" s="753"/>
    </row>
    <row r="859">
      <c r="A859" s="752"/>
      <c r="B859" s="751"/>
      <c r="C859" s="753"/>
    </row>
    <row r="860">
      <c r="A860" s="752"/>
      <c r="B860" s="751"/>
      <c r="C860" s="753"/>
    </row>
    <row r="861">
      <c r="A861" s="752"/>
      <c r="B861" s="751"/>
      <c r="C861" s="753"/>
    </row>
    <row r="862">
      <c r="A862" s="752"/>
      <c r="B862" s="751"/>
      <c r="C862" s="753"/>
    </row>
    <row r="863">
      <c r="A863" s="752"/>
      <c r="B863" s="751"/>
      <c r="C863" s="753"/>
    </row>
    <row r="864">
      <c r="A864" s="752"/>
      <c r="B864" s="751"/>
      <c r="C864" s="753"/>
    </row>
    <row r="865">
      <c r="A865" s="752"/>
      <c r="B865" s="751"/>
      <c r="C865" s="753"/>
    </row>
    <row r="866">
      <c r="A866" s="752"/>
      <c r="B866" s="751"/>
      <c r="C866" s="753"/>
    </row>
    <row r="867">
      <c r="A867" s="752"/>
      <c r="B867" s="751"/>
      <c r="C867" s="753"/>
    </row>
    <row r="868">
      <c r="A868" s="752"/>
      <c r="B868" s="751"/>
      <c r="C868" s="753"/>
    </row>
    <row r="869">
      <c r="A869" s="752"/>
      <c r="B869" s="751"/>
      <c r="C869" s="753"/>
    </row>
    <row r="870">
      <c r="A870" s="752"/>
      <c r="B870" s="751"/>
      <c r="C870" s="753"/>
    </row>
    <row r="871">
      <c r="A871" s="752"/>
      <c r="B871" s="751"/>
      <c r="C871" s="753"/>
    </row>
    <row r="872">
      <c r="A872" s="752"/>
      <c r="B872" s="751"/>
      <c r="C872" s="753"/>
    </row>
    <row r="873">
      <c r="A873" s="752"/>
      <c r="B873" s="751"/>
      <c r="C873" s="753"/>
    </row>
    <row r="874">
      <c r="A874" s="752"/>
      <c r="B874" s="751"/>
      <c r="C874" s="753"/>
    </row>
    <row r="875">
      <c r="A875" s="752"/>
      <c r="B875" s="751"/>
      <c r="C875" s="753"/>
    </row>
    <row r="876">
      <c r="A876" s="752"/>
      <c r="B876" s="751"/>
      <c r="C876" s="753"/>
    </row>
    <row r="877">
      <c r="A877" s="752"/>
      <c r="B877" s="751"/>
      <c r="C877" s="753"/>
    </row>
    <row r="878">
      <c r="A878" s="752"/>
      <c r="B878" s="751"/>
      <c r="C878" s="753"/>
    </row>
    <row r="879">
      <c r="A879" s="752"/>
      <c r="B879" s="751"/>
      <c r="C879" s="753"/>
    </row>
    <row r="880">
      <c r="A880" s="752"/>
      <c r="B880" s="751"/>
      <c r="C880" s="753"/>
    </row>
    <row r="881">
      <c r="A881" s="752"/>
      <c r="B881" s="751"/>
      <c r="C881" s="753"/>
    </row>
    <row r="882">
      <c r="A882" s="752"/>
      <c r="B882" s="751"/>
      <c r="C882" s="753"/>
    </row>
    <row r="883">
      <c r="A883" s="752"/>
      <c r="B883" s="751"/>
      <c r="C883" s="753"/>
    </row>
    <row r="884">
      <c r="A884" s="752"/>
      <c r="B884" s="751"/>
      <c r="C884" s="753"/>
    </row>
    <row r="885">
      <c r="A885" s="752"/>
      <c r="B885" s="751"/>
      <c r="C885" s="753"/>
    </row>
    <row r="886">
      <c r="A886" s="752"/>
      <c r="B886" s="751"/>
      <c r="C886" s="753"/>
    </row>
    <row r="887">
      <c r="A887" s="752"/>
      <c r="B887" s="751"/>
      <c r="C887" s="753"/>
    </row>
    <row r="888">
      <c r="A888" s="752"/>
      <c r="B888" s="751"/>
      <c r="C888" s="753"/>
    </row>
    <row r="889">
      <c r="A889" s="752"/>
      <c r="B889" s="751"/>
      <c r="C889" s="753"/>
    </row>
    <row r="890">
      <c r="A890" s="752"/>
      <c r="B890" s="751"/>
      <c r="C890" s="753"/>
    </row>
    <row r="891">
      <c r="A891" s="752"/>
      <c r="B891" s="751"/>
      <c r="C891" s="753"/>
    </row>
    <row r="892">
      <c r="A892" s="752"/>
      <c r="B892" s="751"/>
      <c r="C892" s="753"/>
    </row>
    <row r="893">
      <c r="A893" s="752"/>
      <c r="B893" s="751"/>
      <c r="C893" s="753"/>
    </row>
    <row r="894">
      <c r="A894" s="752"/>
      <c r="B894" s="751"/>
      <c r="C894" s="753"/>
    </row>
    <row r="895">
      <c r="A895" s="752"/>
      <c r="B895" s="751"/>
      <c r="C895" s="753"/>
    </row>
    <row r="896">
      <c r="A896" s="752"/>
      <c r="B896" s="751"/>
      <c r="C896" s="753"/>
    </row>
    <row r="897">
      <c r="A897" s="752"/>
      <c r="B897" s="751"/>
      <c r="C897" s="753"/>
    </row>
    <row r="898">
      <c r="A898" s="752"/>
      <c r="B898" s="751"/>
      <c r="C898" s="753"/>
    </row>
    <row r="899">
      <c r="A899" s="752"/>
      <c r="B899" s="751"/>
      <c r="C899" s="753"/>
    </row>
    <row r="900">
      <c r="A900" s="752"/>
      <c r="B900" s="751"/>
      <c r="C900" s="753"/>
    </row>
    <row r="901">
      <c r="A901" s="752"/>
      <c r="B901" s="751"/>
      <c r="C901" s="753"/>
    </row>
    <row r="902">
      <c r="A902" s="752"/>
      <c r="B902" s="751"/>
      <c r="C902" s="753"/>
    </row>
    <row r="903">
      <c r="A903" s="752"/>
      <c r="B903" s="751"/>
      <c r="C903" s="753"/>
    </row>
    <row r="904">
      <c r="A904" s="752"/>
      <c r="B904" s="751"/>
      <c r="C904" s="753"/>
    </row>
    <row r="905">
      <c r="A905" s="752"/>
      <c r="B905" s="751"/>
      <c r="C905" s="753"/>
    </row>
    <row r="906">
      <c r="A906" s="752"/>
      <c r="B906" s="751"/>
      <c r="C906" s="753"/>
    </row>
    <row r="907">
      <c r="A907" s="752"/>
      <c r="B907" s="751"/>
      <c r="C907" s="753"/>
    </row>
    <row r="908">
      <c r="A908" s="752"/>
      <c r="B908" s="751"/>
      <c r="C908" s="753"/>
    </row>
    <row r="909">
      <c r="A909" s="752"/>
      <c r="B909" s="751"/>
      <c r="C909" s="753"/>
    </row>
    <row r="910">
      <c r="A910" s="752"/>
      <c r="B910" s="751"/>
      <c r="C910" s="753"/>
    </row>
    <row r="911">
      <c r="A911" s="752"/>
      <c r="B911" s="751"/>
      <c r="C911" s="753"/>
    </row>
    <row r="912">
      <c r="A912" s="752"/>
      <c r="B912" s="751"/>
      <c r="C912" s="753"/>
    </row>
    <row r="913">
      <c r="A913" s="752"/>
      <c r="B913" s="751"/>
      <c r="C913" s="753"/>
    </row>
    <row r="914">
      <c r="A914" s="752"/>
      <c r="B914" s="751"/>
      <c r="C914" s="753"/>
    </row>
    <row r="915">
      <c r="A915" s="752"/>
      <c r="B915" s="751"/>
      <c r="C915" s="753"/>
    </row>
    <row r="916">
      <c r="A916" s="752"/>
      <c r="B916" s="751"/>
      <c r="C916" s="753"/>
    </row>
    <row r="917">
      <c r="A917" s="752"/>
      <c r="B917" s="751"/>
      <c r="C917" s="753"/>
    </row>
    <row r="918">
      <c r="A918" s="752"/>
      <c r="B918" s="751"/>
      <c r="C918" s="753"/>
    </row>
    <row r="919">
      <c r="A919" s="752"/>
      <c r="B919" s="751"/>
      <c r="C919" s="753"/>
    </row>
    <row r="920">
      <c r="A920" s="752"/>
      <c r="B920" s="751"/>
      <c r="C920" s="753"/>
    </row>
    <row r="921">
      <c r="A921" s="752"/>
      <c r="B921" s="751"/>
      <c r="C921" s="753"/>
    </row>
    <row r="922">
      <c r="A922" s="752"/>
      <c r="B922" s="751"/>
      <c r="C922" s="753"/>
    </row>
    <row r="923">
      <c r="A923" s="752"/>
      <c r="B923" s="751"/>
      <c r="C923" s="753"/>
    </row>
    <row r="924">
      <c r="A924" s="752"/>
      <c r="B924" s="751"/>
      <c r="C924" s="753"/>
    </row>
    <row r="925">
      <c r="A925" s="752"/>
      <c r="B925" s="751"/>
      <c r="C925" s="753"/>
    </row>
    <row r="926">
      <c r="A926" s="752"/>
      <c r="B926" s="751"/>
      <c r="C926" s="753"/>
    </row>
    <row r="927">
      <c r="A927" s="752"/>
      <c r="B927" s="751"/>
      <c r="C927" s="753"/>
    </row>
    <row r="928">
      <c r="A928" s="752"/>
      <c r="B928" s="751"/>
      <c r="C928" s="753"/>
    </row>
    <row r="929">
      <c r="A929" s="752"/>
      <c r="B929" s="751"/>
      <c r="C929" s="753"/>
    </row>
    <row r="930">
      <c r="A930" s="752"/>
      <c r="B930" s="751"/>
      <c r="C930" s="753"/>
    </row>
    <row r="931">
      <c r="A931" s="752"/>
      <c r="B931" s="751"/>
      <c r="C931" s="753"/>
    </row>
    <row r="932">
      <c r="A932" s="752"/>
      <c r="B932" s="751"/>
      <c r="C932" s="753"/>
    </row>
    <row r="933">
      <c r="A933" s="752"/>
      <c r="B933" s="751"/>
      <c r="C933" s="753"/>
    </row>
    <row r="934">
      <c r="A934" s="752"/>
      <c r="B934" s="751"/>
      <c r="C934" s="753"/>
    </row>
    <row r="935">
      <c r="A935" s="752"/>
      <c r="B935" s="751"/>
      <c r="C935" s="753"/>
    </row>
    <row r="936">
      <c r="A936" s="752"/>
      <c r="B936" s="751"/>
      <c r="C936" s="753"/>
    </row>
    <row r="937">
      <c r="A937" s="752"/>
      <c r="B937" s="751"/>
      <c r="C937" s="753"/>
    </row>
    <row r="938">
      <c r="A938" s="752"/>
      <c r="B938" s="751"/>
      <c r="C938" s="753"/>
    </row>
    <row r="939">
      <c r="A939" s="752"/>
      <c r="B939" s="751"/>
      <c r="C939" s="753"/>
    </row>
    <row r="940">
      <c r="A940" s="752"/>
      <c r="B940" s="751"/>
      <c r="C940" s="753"/>
    </row>
    <row r="941">
      <c r="A941" s="752"/>
      <c r="B941" s="751"/>
      <c r="C941" s="753"/>
    </row>
    <row r="942">
      <c r="A942" s="752"/>
      <c r="B942" s="751"/>
      <c r="C942" s="753"/>
    </row>
    <row r="943">
      <c r="A943" s="752"/>
      <c r="B943" s="751"/>
      <c r="C943" s="753"/>
    </row>
    <row r="944">
      <c r="A944" s="752"/>
      <c r="B944" s="751"/>
      <c r="C944" s="753"/>
    </row>
    <row r="945">
      <c r="A945" s="752"/>
      <c r="B945" s="751"/>
      <c r="C945" s="753"/>
    </row>
    <row r="946">
      <c r="A946" s="752"/>
      <c r="B946" s="751"/>
      <c r="C946" s="753"/>
    </row>
    <row r="947">
      <c r="A947" s="752"/>
      <c r="B947" s="751"/>
      <c r="C947" s="753"/>
    </row>
    <row r="948">
      <c r="A948" s="752"/>
      <c r="B948" s="751"/>
      <c r="C948" s="753"/>
    </row>
    <row r="949">
      <c r="A949" s="752"/>
      <c r="B949" s="751"/>
      <c r="C949" s="753"/>
    </row>
    <row r="950">
      <c r="A950" s="752"/>
      <c r="B950" s="751"/>
      <c r="C950" s="753"/>
    </row>
    <row r="951">
      <c r="A951" s="752"/>
      <c r="B951" s="751"/>
      <c r="C951" s="753"/>
    </row>
    <row r="952">
      <c r="A952" s="752"/>
      <c r="B952" s="751"/>
      <c r="C952" s="753"/>
    </row>
    <row r="953">
      <c r="A953" s="752"/>
      <c r="B953" s="751"/>
      <c r="C953" s="753"/>
    </row>
    <row r="954">
      <c r="A954" s="752"/>
      <c r="B954" s="751"/>
      <c r="C954" s="753"/>
    </row>
    <row r="955">
      <c r="A955" s="752"/>
      <c r="B955" s="751"/>
      <c r="C955" s="753"/>
    </row>
    <row r="956">
      <c r="A956" s="752"/>
      <c r="B956" s="751"/>
      <c r="C956" s="753"/>
    </row>
    <row r="957">
      <c r="A957" s="752"/>
      <c r="B957" s="751"/>
      <c r="C957" s="753"/>
    </row>
    <row r="958">
      <c r="A958" s="752"/>
      <c r="B958" s="751"/>
      <c r="C958" s="753"/>
    </row>
    <row r="959">
      <c r="A959" s="752"/>
      <c r="B959" s="751"/>
      <c r="C959" s="753"/>
    </row>
    <row r="960">
      <c r="A960" s="752"/>
      <c r="B960" s="751"/>
      <c r="C960" s="753"/>
    </row>
    <row r="961">
      <c r="A961" s="752"/>
      <c r="B961" s="751"/>
      <c r="C961" s="753"/>
    </row>
    <row r="962">
      <c r="A962" s="752"/>
      <c r="B962" s="751"/>
      <c r="C962" s="753"/>
    </row>
    <row r="963">
      <c r="A963" s="752"/>
      <c r="B963" s="751"/>
      <c r="C963" s="753"/>
    </row>
    <row r="964">
      <c r="A964" s="752"/>
      <c r="B964" s="751"/>
      <c r="C964" s="753"/>
    </row>
    <row r="965">
      <c r="A965" s="752"/>
      <c r="B965" s="751"/>
      <c r="C965" s="753"/>
    </row>
    <row r="966">
      <c r="A966" s="752"/>
      <c r="B966" s="751"/>
      <c r="C966" s="753"/>
    </row>
    <row r="967">
      <c r="A967" s="752"/>
      <c r="B967" s="751"/>
      <c r="C967" s="753"/>
    </row>
    <row r="968">
      <c r="A968" s="752"/>
      <c r="B968" s="751"/>
      <c r="C968" s="753"/>
    </row>
    <row r="969">
      <c r="A969" s="752"/>
      <c r="B969" s="751"/>
      <c r="C969" s="753"/>
    </row>
    <row r="970">
      <c r="A970" s="752"/>
      <c r="B970" s="751"/>
      <c r="C970" s="753"/>
    </row>
    <row r="971">
      <c r="A971" s="752"/>
      <c r="B971" s="751"/>
      <c r="C971" s="753"/>
    </row>
    <row r="972">
      <c r="A972" s="752"/>
      <c r="B972" s="751"/>
      <c r="C972" s="753"/>
    </row>
    <row r="973">
      <c r="A973" s="752"/>
      <c r="B973" s="751"/>
      <c r="C973" s="753"/>
    </row>
    <row r="974">
      <c r="A974" s="752"/>
      <c r="B974" s="751"/>
      <c r="C974" s="753"/>
    </row>
    <row r="975">
      <c r="A975" s="752"/>
      <c r="B975" s="751"/>
      <c r="C975" s="753"/>
    </row>
    <row r="976">
      <c r="A976" s="752"/>
      <c r="B976" s="751"/>
      <c r="C976" s="753"/>
    </row>
    <row r="977">
      <c r="A977" s="752"/>
      <c r="B977" s="751"/>
      <c r="C977" s="753"/>
    </row>
    <row r="978">
      <c r="A978" s="752"/>
      <c r="B978" s="751"/>
      <c r="C978" s="753"/>
    </row>
    <row r="979">
      <c r="A979" s="752"/>
      <c r="B979" s="751"/>
      <c r="C979" s="753"/>
    </row>
    <row r="980">
      <c r="A980" s="752"/>
      <c r="B980" s="751"/>
      <c r="C980" s="753"/>
    </row>
    <row r="981">
      <c r="A981" s="752"/>
      <c r="B981" s="751"/>
      <c r="C981" s="753"/>
    </row>
    <row r="982">
      <c r="A982" s="752"/>
      <c r="B982" s="751"/>
      <c r="C982" s="753"/>
    </row>
    <row r="983">
      <c r="A983" s="752"/>
      <c r="B983" s="751"/>
      <c r="C983" s="753"/>
    </row>
    <row r="984">
      <c r="A984" s="752"/>
      <c r="B984" s="751"/>
      <c r="C984" s="753"/>
    </row>
    <row r="985">
      <c r="A985" s="752"/>
      <c r="B985" s="751"/>
      <c r="C985" s="753"/>
    </row>
    <row r="986">
      <c r="A986" s="752"/>
      <c r="B986" s="751"/>
      <c r="C986" s="753"/>
    </row>
    <row r="987">
      <c r="A987" s="752"/>
      <c r="B987" s="751"/>
      <c r="C987" s="753"/>
    </row>
    <row r="988">
      <c r="A988" s="752"/>
      <c r="B988" s="751"/>
      <c r="C988" s="753"/>
    </row>
    <row r="989">
      <c r="A989" s="752"/>
      <c r="B989" s="751"/>
      <c r="C989" s="753"/>
    </row>
    <row r="990">
      <c r="A990" s="752"/>
      <c r="B990" s="751"/>
      <c r="C990" s="753"/>
    </row>
    <row r="991">
      <c r="A991" s="752"/>
      <c r="B991" s="751"/>
      <c r="C991" s="753"/>
    </row>
    <row r="992">
      <c r="A992" s="752"/>
      <c r="B992" s="751"/>
      <c r="C992" s="753"/>
    </row>
    <row r="993">
      <c r="A993" s="752"/>
      <c r="B993" s="751"/>
      <c r="C993" s="753"/>
    </row>
    <row r="994">
      <c r="A994" s="752"/>
      <c r="B994" s="751"/>
      <c r="C994" s="753"/>
    </row>
    <row r="995">
      <c r="A995" s="752"/>
      <c r="B995" s="751"/>
      <c r="C995" s="753"/>
    </row>
    <row r="996">
      <c r="A996" s="752"/>
      <c r="B996" s="751"/>
      <c r="C996" s="753"/>
    </row>
    <row r="997">
      <c r="A997" s="752"/>
      <c r="B997" s="751"/>
      <c r="C997" s="753"/>
    </row>
    <row r="998">
      <c r="A998" s="752"/>
      <c r="B998" s="751"/>
      <c r="C998" s="753"/>
    </row>
    <row r="999">
      <c r="A999" s="752"/>
      <c r="B999" s="751"/>
      <c r="C999" s="753"/>
    </row>
    <row r="1000">
      <c r="A1000" s="752"/>
      <c r="B1000" s="751"/>
      <c r="C1000" s="753"/>
    </row>
    <row r="1001">
      <c r="A1001" s="752"/>
      <c r="B1001" s="751"/>
      <c r="C1001" s="753"/>
    </row>
    <row r="1002">
      <c r="A1002" s="752"/>
      <c r="B1002" s="751"/>
      <c r="C1002" s="753"/>
    </row>
    <row r="1003">
      <c r="A1003" s="752"/>
      <c r="B1003" s="751"/>
      <c r="C1003" s="753"/>
    </row>
    <row r="1004">
      <c r="A1004" s="752"/>
      <c r="B1004" s="751"/>
      <c r="C1004" s="753"/>
    </row>
    <row r="1005">
      <c r="A1005" s="752"/>
      <c r="B1005" s="751"/>
      <c r="C1005" s="753"/>
    </row>
    <row r="1006">
      <c r="A1006" s="752"/>
      <c r="B1006" s="751"/>
      <c r="C1006" s="753"/>
    </row>
    <row r="1007">
      <c r="A1007" s="752"/>
      <c r="B1007" s="751"/>
      <c r="C1007" s="753"/>
    </row>
    <row r="1008">
      <c r="A1008" s="752"/>
      <c r="B1008" s="751"/>
      <c r="C1008" s="753"/>
    </row>
    <row r="1009">
      <c r="A1009" s="752"/>
      <c r="B1009" s="751"/>
      <c r="C1009" s="753"/>
    </row>
    <row r="1010">
      <c r="A1010" s="752"/>
      <c r="B1010" s="751"/>
      <c r="C1010" s="753"/>
    </row>
    <row r="1011">
      <c r="A1011" s="752"/>
      <c r="B1011" s="751"/>
      <c r="C1011" s="753"/>
    </row>
    <row r="1012">
      <c r="A1012" s="752"/>
      <c r="B1012" s="751"/>
      <c r="C1012" s="753"/>
    </row>
    <row r="1013">
      <c r="A1013" s="752"/>
      <c r="B1013" s="751"/>
      <c r="C1013" s="753"/>
    </row>
    <row r="1014">
      <c r="A1014" s="754"/>
      <c r="B1014" s="755"/>
      <c r="C1014" s="756"/>
    </row>
  </sheetData>
  <drawing r:id="rId1"/>
  <tableParts count="1">
    <tablePart r:id="rId3"/>
  </tableParts>
</worksheet>
</file>