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https://d.docs.live.net/72c5243d6d464cff/Documents/"/>
    </mc:Choice>
  </mc:AlternateContent>
  <xr:revisionPtr revIDLastSave="139" documentId="8_{8606B68F-D226-4459-A070-21FE03140FCE}" xr6:coauthVersionLast="47" xr6:coauthVersionMax="47" xr10:uidLastSave="{4F8B8C1B-667C-47A1-BDBA-8183D4E87627}"/>
  <bookViews>
    <workbookView xWindow="-108" yWindow="-108" windowWidth="23256" windowHeight="12456" xr2:uid="{00000000-000D-0000-FFFF-FFFF00000000}"/>
  </bookViews>
  <sheets>
    <sheet name="Menu 1 - Duck" sheetId="1" r:id="rId1"/>
    <sheet name="Menu 2 - Beef" sheetId="2" r:id="rId2"/>
    <sheet name="Menu 3 - Lamb" sheetId="3" r:id="rId3"/>
    <sheet name="Shopping List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8" roundtripDataSignature="AMtx7mjh7dde3sDB0HkfJUbiahBhOgiKsw=="/>
    </ext>
  </extLst>
</workbook>
</file>

<file path=xl/calcChain.xml><?xml version="1.0" encoding="utf-8"?>
<calcChain xmlns="http://schemas.openxmlformats.org/spreadsheetml/2006/main">
  <c r="E21" i="4" l="1"/>
  <c r="E20" i="4"/>
  <c r="E19" i="4"/>
  <c r="E18" i="4"/>
  <c r="E17" i="4"/>
  <c r="E16" i="4"/>
  <c r="E15" i="4"/>
  <c r="E14" i="4"/>
  <c r="E13" i="4"/>
  <c r="E12" i="4"/>
  <c r="E10" i="4"/>
  <c r="E11" i="4"/>
  <c r="E9" i="4"/>
  <c r="E8" i="4"/>
  <c r="K3" i="2"/>
  <c r="A32" i="4"/>
  <c r="E32" i="4" s="1"/>
  <c r="A34" i="4"/>
  <c r="E34" i="4" s="1"/>
  <c r="A33" i="4" l="1"/>
  <c r="C17" i="3" s="1"/>
  <c r="B29" i="4"/>
  <c r="G7" i="4"/>
  <c r="B7" i="4"/>
  <c r="K36" i="3"/>
  <c r="K35" i="3"/>
  <c r="K33" i="3"/>
  <c r="K32" i="3"/>
  <c r="K19" i="3"/>
  <c r="I19" i="3"/>
  <c r="G19" i="3"/>
  <c r="J18" i="3"/>
  <c r="C18" i="3"/>
  <c r="J17" i="3"/>
  <c r="I17" i="3"/>
  <c r="C16" i="3"/>
  <c r="C15" i="3"/>
  <c r="C14" i="3"/>
  <c r="C13" i="3"/>
  <c r="C12" i="3"/>
  <c r="C11" i="3"/>
  <c r="C10" i="3"/>
  <c r="C9" i="3"/>
  <c r="C8" i="3"/>
  <c r="C5" i="3"/>
  <c r="J4" i="3"/>
  <c r="K3" i="3"/>
  <c r="J3" i="3"/>
  <c r="K35" i="2"/>
  <c r="K34" i="2"/>
  <c r="K33" i="2"/>
  <c r="K32" i="2"/>
  <c r="K31" i="2"/>
  <c r="K18" i="2"/>
  <c r="I18" i="2"/>
  <c r="G18" i="2"/>
  <c r="J17" i="2"/>
  <c r="C17" i="2"/>
  <c r="J16" i="2"/>
  <c r="I16" i="2"/>
  <c r="C15" i="2"/>
  <c r="C14" i="2"/>
  <c r="C13" i="2"/>
  <c r="C12" i="2"/>
  <c r="C11" i="2"/>
  <c r="C10" i="2"/>
  <c r="C9" i="2"/>
  <c r="C8" i="2"/>
  <c r="C5" i="2"/>
  <c r="J4" i="2"/>
  <c r="J3" i="2"/>
  <c r="K2" i="2"/>
  <c r="K2" i="3" s="1"/>
  <c r="K35" i="1"/>
  <c r="K34" i="1"/>
  <c r="K33" i="1"/>
  <c r="K32" i="1"/>
  <c r="K31" i="1"/>
  <c r="K18" i="1"/>
  <c r="I18" i="1"/>
  <c r="G18" i="1"/>
  <c r="J17" i="1"/>
  <c r="I17" i="1"/>
  <c r="C34" i="4" s="1"/>
  <c r="J16" i="1"/>
  <c r="I16" i="1"/>
  <c r="J15" i="1"/>
  <c r="I15" i="1"/>
  <c r="C32" i="4" s="1"/>
  <c r="C14" i="1"/>
  <c r="C13" i="1"/>
  <c r="C12" i="1"/>
  <c r="C11" i="1"/>
  <c r="C10" i="1"/>
  <c r="C9" i="1"/>
  <c r="C8" i="1"/>
  <c r="K5" i="1"/>
  <c r="K5" i="3" s="1"/>
  <c r="J5" i="1"/>
  <c r="G17" i="1" l="1"/>
  <c r="G8" i="4"/>
  <c r="C16" i="1"/>
  <c r="H16" i="1"/>
  <c r="F16" i="1" s="1"/>
  <c r="H8" i="1"/>
  <c r="H12" i="1"/>
  <c r="H10" i="1"/>
  <c r="H9" i="1"/>
  <c r="H14" i="1"/>
  <c r="H13" i="1"/>
  <c r="H11" i="1"/>
  <c r="B26" i="4"/>
  <c r="J5" i="2"/>
  <c r="H9" i="2" s="1"/>
  <c r="K5" i="2"/>
  <c r="I16" i="3"/>
  <c r="G16" i="3" s="1"/>
  <c r="I15" i="2"/>
  <c r="G15" i="2" s="1"/>
  <c r="C16" i="2"/>
  <c r="C8" i="4"/>
  <c r="C23" i="4"/>
  <c r="J5" i="3"/>
  <c r="H8" i="3" s="1"/>
  <c r="I18" i="3"/>
  <c r="G18" i="3" s="1"/>
  <c r="G15" i="1"/>
  <c r="I17" i="2"/>
  <c r="G17" i="2" s="1"/>
  <c r="G9" i="4" l="1"/>
  <c r="J33" i="1"/>
  <c r="J8" i="1"/>
  <c r="H8" i="2"/>
  <c r="J8" i="2" s="1"/>
  <c r="J31" i="1"/>
  <c r="H14" i="2"/>
  <c r="F14" i="2" s="1"/>
  <c r="B30" i="4" s="1"/>
  <c r="D30" i="4" s="1"/>
  <c r="H9" i="3"/>
  <c r="H15" i="3"/>
  <c r="F15" i="3" s="1"/>
  <c r="H14" i="3"/>
  <c r="H17" i="3"/>
  <c r="F17" i="3" s="1"/>
  <c r="B33" i="4"/>
  <c r="D33" i="4" s="1"/>
  <c r="H18" i="1"/>
  <c r="F8" i="1"/>
  <c r="B8" i="4" s="1"/>
  <c r="D8" i="4" s="1"/>
  <c r="J32" i="1"/>
  <c r="H12" i="2"/>
  <c r="F12" i="1"/>
  <c r="B16" i="4" s="1"/>
  <c r="D16" i="4" s="1"/>
  <c r="H12" i="3"/>
  <c r="J35" i="1"/>
  <c r="J14" i="1"/>
  <c r="F14" i="1"/>
  <c r="B31" i="4" s="1"/>
  <c r="D31" i="4" s="1"/>
  <c r="J12" i="1"/>
  <c r="H16" i="2"/>
  <c r="F16" i="2" s="1"/>
  <c r="J10" i="1"/>
  <c r="F10" i="1"/>
  <c r="B12" i="4" s="1"/>
  <c r="D12" i="4" s="1"/>
  <c r="H13" i="3"/>
  <c r="F13" i="1"/>
  <c r="B19" i="4" s="1"/>
  <c r="D19" i="4" s="1"/>
  <c r="J34" i="1"/>
  <c r="J13" i="1"/>
  <c r="H13" i="2"/>
  <c r="H10" i="3"/>
  <c r="J9" i="1"/>
  <c r="H10" i="2"/>
  <c r="F9" i="1"/>
  <c r="B11" i="4" s="1"/>
  <c r="D11" i="4" s="1"/>
  <c r="F11" i="1"/>
  <c r="B15" i="4" s="1"/>
  <c r="D15" i="4" s="1"/>
  <c r="H11" i="2"/>
  <c r="H11" i="3"/>
  <c r="J11" i="1"/>
  <c r="F9" i="2"/>
  <c r="B13" i="4" s="1"/>
  <c r="D13" i="4" s="1"/>
  <c r="J9" i="2"/>
  <c r="G10" i="4" l="1"/>
  <c r="C9" i="4"/>
  <c r="J32" i="2"/>
  <c r="J32" i="3"/>
  <c r="J31" i="2"/>
  <c r="J14" i="2"/>
  <c r="F8" i="2"/>
  <c r="B9" i="4" s="1"/>
  <c r="D9" i="4" s="1"/>
  <c r="H18" i="2"/>
  <c r="H19" i="3"/>
  <c r="J12" i="3"/>
  <c r="J36" i="3"/>
  <c r="F12" i="3"/>
  <c r="B18" i="4" s="1"/>
  <c r="D18" i="4" s="1"/>
  <c r="J18" i="1"/>
  <c r="H17" i="1" s="1"/>
  <c r="F17" i="1" s="1"/>
  <c r="B34" i="4" s="1"/>
  <c r="D34" i="4" s="1"/>
  <c r="J35" i="2"/>
  <c r="J12" i="2"/>
  <c r="F12" i="2"/>
  <c r="B17" i="4" s="1"/>
  <c r="D17" i="4" s="1"/>
  <c r="J11" i="3"/>
  <c r="F11" i="3"/>
  <c r="J10" i="2"/>
  <c r="F10" i="2"/>
  <c r="F13" i="2"/>
  <c r="B20" i="4" s="1"/>
  <c r="D20" i="4" s="1"/>
  <c r="J34" i="2"/>
  <c r="J13" i="2"/>
  <c r="F10" i="3"/>
  <c r="J10" i="3"/>
  <c r="F11" i="2"/>
  <c r="J11" i="2"/>
  <c r="F8" i="3"/>
  <c r="B10" i="4" s="1"/>
  <c r="D10" i="4" s="1"/>
  <c r="J34" i="3"/>
  <c r="J8" i="3"/>
  <c r="J13" i="3"/>
  <c r="F13" i="3"/>
  <c r="B21" i="4" s="1"/>
  <c r="D21" i="4" s="1"/>
  <c r="J35" i="3"/>
  <c r="J33" i="2"/>
  <c r="F14" i="3"/>
  <c r="J14" i="3"/>
  <c r="J15" i="3"/>
  <c r="B22" i="4"/>
  <c r="J33" i="3"/>
  <c r="J9" i="3"/>
  <c r="F9" i="3"/>
  <c r="B14" i="4" s="1"/>
  <c r="D14" i="4" s="1"/>
  <c r="G11" i="4" l="1"/>
  <c r="C10" i="4"/>
  <c r="F18" i="1"/>
  <c r="H15" i="1" s="1"/>
  <c r="J18" i="2"/>
  <c r="H17" i="2"/>
  <c r="F17" i="2" s="1"/>
  <c r="H18" i="3"/>
  <c r="J19" i="3"/>
  <c r="D22" i="4"/>
  <c r="D23" i="4" s="1"/>
  <c r="B23" i="4"/>
  <c r="G12" i="4" l="1"/>
  <c r="C11" i="4"/>
  <c r="H15" i="2"/>
  <c r="F15" i="2" s="1"/>
  <c r="H16" i="3"/>
  <c r="F16" i="3" s="1"/>
  <c r="F15" i="1"/>
  <c r="B32" i="4" s="1"/>
  <c r="D32" i="4" s="1"/>
  <c r="B35" i="4" s="1"/>
  <c r="B4" i="4" s="1"/>
  <c r="F18" i="2"/>
  <c r="F18" i="3"/>
  <c r="B25" i="4"/>
  <c r="G13" i="4" l="1"/>
  <c r="C12" i="4"/>
  <c r="F19" i="3"/>
  <c r="G14" i="4" l="1"/>
  <c r="C13" i="4"/>
  <c r="G15" i="4" l="1"/>
  <c r="C14" i="4"/>
  <c r="G16" i="4" l="1"/>
  <c r="C15" i="4"/>
  <c r="G17" i="4" l="1"/>
  <c r="C16" i="4"/>
  <c r="G18" i="4" l="1"/>
  <c r="C17" i="4"/>
  <c r="G19" i="4" l="1"/>
  <c r="C18" i="4"/>
  <c r="G20" i="4" l="1"/>
  <c r="C19" i="4"/>
  <c r="G21" i="4" l="1"/>
  <c r="C21" i="4" s="1"/>
  <c r="C20" i="4"/>
</calcChain>
</file>

<file path=xl/sharedStrings.xml><?xml version="1.0" encoding="utf-8"?>
<sst xmlns="http://schemas.openxmlformats.org/spreadsheetml/2006/main" count="192" uniqueCount="91">
  <si>
    <t>DUCK MENU - DAY 1</t>
  </si>
  <si>
    <t>Lifestage</t>
  </si>
  <si>
    <t>Puppy Development</t>
  </si>
  <si>
    <t>Ideal Body Weight</t>
  </si>
  <si>
    <t>LB</t>
  </si>
  <si>
    <t>Feeding Percentage</t>
  </si>
  <si>
    <t>Daily Intake by Weight</t>
  </si>
  <si>
    <t>Day</t>
  </si>
  <si>
    <t>Ingredients</t>
  </si>
  <si>
    <t>Amount</t>
  </si>
  <si>
    <t>Calories</t>
  </si>
  <si>
    <t>80/10/10 Base</t>
  </si>
  <si>
    <t>OZ</t>
  </si>
  <si>
    <t>G</t>
  </si>
  <si>
    <t>KCAL</t>
  </si>
  <si>
    <t>Muscle Meat</t>
  </si>
  <si>
    <t>Secreating Organ</t>
  </si>
  <si>
    <t>Seafood</t>
  </si>
  <si>
    <t>Vegetables</t>
  </si>
  <si>
    <t>Healthy Fat</t>
  </si>
  <si>
    <t>TSP</t>
  </si>
  <si>
    <t>Supplements</t>
  </si>
  <si>
    <t>DROP</t>
  </si>
  <si>
    <t>80/10/10 Duck Grind Guaranteed Analysis</t>
  </si>
  <si>
    <t>Day 1 Menu Ratio Breakdown</t>
  </si>
  <si>
    <r>
      <rPr>
        <b/>
        <sz val="10"/>
        <color theme="1"/>
        <rFont val="Arial"/>
      </rPr>
      <t xml:space="preserve">Protein, </t>
    </r>
    <r>
      <rPr>
        <b/>
        <i/>
        <sz val="10"/>
        <color theme="1"/>
        <rFont val="Arial"/>
      </rPr>
      <t>minimum</t>
    </r>
  </si>
  <si>
    <r>
      <rPr>
        <b/>
        <sz val="10"/>
        <color theme="1"/>
        <rFont val="Arial"/>
      </rPr>
      <t xml:space="preserve">Fat, </t>
    </r>
    <r>
      <rPr>
        <b/>
        <i/>
        <sz val="10"/>
        <color theme="1"/>
        <rFont val="Arial"/>
      </rPr>
      <t>minimum</t>
    </r>
  </si>
  <si>
    <t>Edible Bone</t>
  </si>
  <si>
    <r>
      <rPr>
        <b/>
        <sz val="10"/>
        <color theme="1"/>
        <rFont val="Arial"/>
      </rPr>
      <t xml:space="preserve">Fiber, </t>
    </r>
    <r>
      <rPr>
        <b/>
        <i/>
        <sz val="10"/>
        <color theme="1"/>
        <rFont val="Arial"/>
      </rPr>
      <t>minimum</t>
    </r>
  </si>
  <si>
    <r>
      <rPr>
        <b/>
        <sz val="10"/>
        <color theme="1"/>
        <rFont val="Arial"/>
      </rPr>
      <t xml:space="preserve">Ash, </t>
    </r>
    <r>
      <rPr>
        <b/>
        <i/>
        <sz val="10"/>
        <color theme="1"/>
        <rFont val="Arial"/>
      </rPr>
      <t>maxmium</t>
    </r>
  </si>
  <si>
    <t>Produce</t>
  </si>
  <si>
    <r>
      <rPr>
        <b/>
        <sz val="10"/>
        <color theme="1"/>
        <rFont val="Arial"/>
      </rPr>
      <t xml:space="preserve">Moisture, </t>
    </r>
    <r>
      <rPr>
        <b/>
        <i/>
        <sz val="10"/>
        <color theme="1"/>
        <rFont val="Arial"/>
      </rPr>
      <t>maximum</t>
    </r>
  </si>
  <si>
    <t>Kcal per Kilogram</t>
  </si>
  <si>
    <t>BEEF MENU - DAY 2</t>
  </si>
  <si>
    <t>Raw Meaty Bone</t>
  </si>
  <si>
    <t>Secreting Organs</t>
  </si>
  <si>
    <t>80/10/10 Beef Grind Guaranteed Analysis</t>
  </si>
  <si>
    <t>Day 2 Menu Ratio Breakdown</t>
  </si>
  <si>
    <r>
      <rPr>
        <b/>
        <sz val="10"/>
        <color theme="1"/>
        <rFont val="Arial"/>
      </rPr>
      <t xml:space="preserve">Protein, </t>
    </r>
    <r>
      <rPr>
        <b/>
        <i/>
        <sz val="10"/>
        <color theme="1"/>
        <rFont val="Arial"/>
      </rPr>
      <t>minimum</t>
    </r>
  </si>
  <si>
    <r>
      <rPr>
        <b/>
        <sz val="10"/>
        <color theme="1"/>
        <rFont val="Arial"/>
      </rPr>
      <t xml:space="preserve">Fat, </t>
    </r>
    <r>
      <rPr>
        <b/>
        <i/>
        <sz val="10"/>
        <color theme="1"/>
        <rFont val="Arial"/>
      </rPr>
      <t>minimum</t>
    </r>
  </si>
  <si>
    <r>
      <rPr>
        <b/>
        <sz val="10"/>
        <color theme="1"/>
        <rFont val="Arial"/>
      </rPr>
      <t xml:space="preserve">Fiber, </t>
    </r>
    <r>
      <rPr>
        <b/>
        <i/>
        <sz val="10"/>
        <color theme="1"/>
        <rFont val="Arial"/>
      </rPr>
      <t>minimum</t>
    </r>
  </si>
  <si>
    <r>
      <rPr>
        <b/>
        <sz val="10"/>
        <color theme="1"/>
        <rFont val="Arial"/>
      </rPr>
      <t xml:space="preserve">Ash, </t>
    </r>
    <r>
      <rPr>
        <b/>
        <i/>
        <sz val="10"/>
        <color theme="1"/>
        <rFont val="Arial"/>
      </rPr>
      <t>maxmium</t>
    </r>
  </si>
  <si>
    <r>
      <rPr>
        <b/>
        <sz val="10"/>
        <color theme="1"/>
        <rFont val="Arial"/>
      </rPr>
      <t xml:space="preserve">Moisture, </t>
    </r>
    <r>
      <rPr>
        <b/>
        <i/>
        <sz val="10"/>
        <color theme="1"/>
        <rFont val="Arial"/>
      </rPr>
      <t>maximum</t>
    </r>
  </si>
  <si>
    <t>LAMB MENU - DAY 3</t>
  </si>
  <si>
    <t>Whole Food</t>
  </si>
  <si>
    <t>QTY</t>
  </si>
  <si>
    <t>80/10/10 Lamb Grind Guaranteed Analysis</t>
  </si>
  <si>
    <t>Day 3 Menu Ratio Breakdown</t>
  </si>
  <si>
    <r>
      <rPr>
        <b/>
        <sz val="10"/>
        <color theme="1"/>
        <rFont val="Arial"/>
      </rPr>
      <t xml:space="preserve">Protein, </t>
    </r>
    <r>
      <rPr>
        <b/>
        <i/>
        <sz val="10"/>
        <color theme="1"/>
        <rFont val="Arial"/>
      </rPr>
      <t>minimum</t>
    </r>
  </si>
  <si>
    <r>
      <rPr>
        <b/>
        <sz val="10"/>
        <color theme="1"/>
        <rFont val="Arial"/>
      </rPr>
      <t xml:space="preserve">Fat, </t>
    </r>
    <r>
      <rPr>
        <b/>
        <i/>
        <sz val="10"/>
        <color theme="1"/>
        <rFont val="Arial"/>
      </rPr>
      <t>minimum</t>
    </r>
  </si>
  <si>
    <r>
      <rPr>
        <b/>
        <sz val="10"/>
        <color theme="1"/>
        <rFont val="Arial"/>
      </rPr>
      <t xml:space="preserve">Fiber, </t>
    </r>
    <r>
      <rPr>
        <b/>
        <i/>
        <sz val="10"/>
        <color theme="1"/>
        <rFont val="Arial"/>
      </rPr>
      <t>minimum</t>
    </r>
  </si>
  <si>
    <r>
      <rPr>
        <b/>
        <sz val="10"/>
        <color theme="1"/>
        <rFont val="Arial"/>
      </rPr>
      <t xml:space="preserve">Ash, </t>
    </r>
    <r>
      <rPr>
        <b/>
        <i/>
        <sz val="10"/>
        <color theme="1"/>
        <rFont val="Arial"/>
      </rPr>
      <t>maxmium</t>
    </r>
  </si>
  <si>
    <r>
      <rPr>
        <b/>
        <sz val="10"/>
        <color theme="1"/>
        <rFont val="Arial"/>
      </rPr>
      <t xml:space="preserve">Moisture, </t>
    </r>
    <r>
      <rPr>
        <b/>
        <i/>
        <sz val="10"/>
        <color theme="1"/>
        <rFont val="Arial"/>
      </rPr>
      <t>maximum</t>
    </r>
  </si>
  <si>
    <t>SHOPPING LIST</t>
  </si>
  <si>
    <t>Total Number of NRC Recipes:</t>
  </si>
  <si>
    <t>Total Number of Days Calculated:</t>
  </si>
  <si>
    <t>Estimated Monthly Budget:</t>
  </si>
  <si>
    <t>INGREDIENT LIST</t>
  </si>
  <si>
    <t>Price</t>
  </si>
  <si>
    <t>/</t>
  </si>
  <si>
    <t>Supplier</t>
  </si>
  <si>
    <t>Duck Grind</t>
  </si>
  <si>
    <t>Raw Feeding Miami</t>
  </si>
  <si>
    <t>Beef Grind</t>
  </si>
  <si>
    <t>Lamb Grind</t>
  </si>
  <si>
    <t>Green Tripe, whole or ground</t>
  </si>
  <si>
    <t>Beef Heart</t>
  </si>
  <si>
    <t>Poultry Neck or Head, whole or ground</t>
  </si>
  <si>
    <t>Chicken Ribcages, whole or ground; or Duck Frames</t>
  </si>
  <si>
    <t>Monster Mash</t>
  </si>
  <si>
    <t>Salmon, whole or ground</t>
  </si>
  <si>
    <t>Mackerel</t>
  </si>
  <si>
    <t>Thread Herring, whole or ground</t>
  </si>
  <si>
    <t>Broccoli, raw pureed or steamed</t>
  </si>
  <si>
    <t>Local Market</t>
  </si>
  <si>
    <t>Spinach, raw pureed or steamed</t>
  </si>
  <si>
    <t>Butternut Squash, fully cooked</t>
  </si>
  <si>
    <t>Large Chicken Egg, no shell</t>
  </si>
  <si>
    <t>EGGS</t>
  </si>
  <si>
    <t>DOZ</t>
  </si>
  <si>
    <t>Weight Total</t>
  </si>
  <si>
    <t>Cost Total</t>
  </si>
  <si>
    <t>SUPPLEMENT LIST</t>
  </si>
  <si>
    <t>Supplements (Click for Links)</t>
  </si>
  <si>
    <t>Item</t>
  </si>
  <si>
    <t>Hempseed Oil</t>
  </si>
  <si>
    <t>BOTTLE</t>
  </si>
  <si>
    <t>Amazon</t>
  </si>
  <si>
    <t>Flaxseed Oil</t>
  </si>
  <si>
    <t>DROPS</t>
  </si>
  <si>
    <t>Supplement Total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</si>
</sst>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0.000"/>
    <numFmt numFmtId="165" formatCode="0.0"/>
    <numFmt numFmtId="166" formatCode="0.0%"/>
    <numFmt numFmtId="167" formatCode="_(&quot;$&quot;* #,##0.00_);_(&quot;$&quot;* \(#,##0.00\);_(&quot;$&quot;* &quot;-&quot;??_);_(@_)"/>
    <numFmt numFmtId="168" formatCode="&quot;$&quot;#,##0.00"/>
  </numFmts>
  <fonts count="32" x14ac:knownFonts="1">
    <font>
      <sz val="10"/>
      <color rgb="FF000000"/>
      <name val="Arial"/>
    </font>
    <font>
      <sz val="10"/>
      <color theme="1"/>
      <name val="Arial"/>
    </font>
    <font>
      <b/>
      <sz val="18"/>
      <color theme="1"/>
      <name val="Arial"/>
    </font>
    <font>
      <sz val="10"/>
      <name val="Arial"/>
    </font>
    <font>
      <b/>
      <sz val="10"/>
      <color rgb="FF999999"/>
      <name val="Arial"/>
    </font>
    <font>
      <b/>
      <sz val="10"/>
      <color rgb="FF000000"/>
      <name val="Arial"/>
    </font>
    <font>
      <b/>
      <sz val="10"/>
      <color theme="1"/>
      <name val="Arial"/>
    </font>
    <font>
      <sz val="9"/>
      <color theme="1"/>
      <name val="Arial"/>
    </font>
    <font>
      <sz val="10"/>
      <color rgb="FFCCCCCC"/>
      <name val="Arial"/>
    </font>
    <font>
      <sz val="10"/>
      <color rgb="FFB7B7B7"/>
      <name val="Arial"/>
    </font>
    <font>
      <i/>
      <sz val="9"/>
      <color rgb="FF7D9397"/>
      <name val="Arial"/>
    </font>
    <font>
      <b/>
      <sz val="10"/>
      <color rgb="FFFFFFFF"/>
      <name val="Arial"/>
    </font>
    <font>
      <sz val="10"/>
      <color theme="1"/>
      <name val="Arial"/>
    </font>
    <font>
      <sz val="10"/>
      <color theme="1"/>
      <name val="Calibri"/>
    </font>
    <font>
      <b/>
      <sz val="10"/>
      <color rgb="FF7D9397"/>
      <name val="Arial"/>
    </font>
    <font>
      <b/>
      <sz val="9"/>
      <color rgb="FFFFFFFF"/>
      <name val="Arial"/>
    </font>
    <font>
      <sz val="10"/>
      <color rgb="FF999999"/>
      <name val="Arial"/>
    </font>
    <font>
      <b/>
      <sz val="11"/>
      <color rgb="FFFFFFFF"/>
      <name val="Arial"/>
    </font>
    <font>
      <sz val="10"/>
      <color rgb="FF7D9397"/>
      <name val="Arial"/>
    </font>
    <font>
      <u/>
      <sz val="10"/>
      <color rgb="FFCC4125"/>
      <name val="Arial"/>
    </font>
    <font>
      <b/>
      <sz val="8"/>
      <color rgb="FFFFFFFF"/>
      <name val="Arial"/>
    </font>
    <font>
      <u/>
      <sz val="10"/>
      <color rgb="FF1155CC"/>
      <name val="Arial"/>
    </font>
    <font>
      <sz val="8"/>
      <color theme="1"/>
      <name val="Arial"/>
    </font>
    <font>
      <u/>
      <sz val="10"/>
      <color rgb="FFCC0000"/>
      <name val="Arial"/>
    </font>
    <font>
      <u/>
      <sz val="10"/>
      <color rgb="FFCC0000"/>
      <name val="Arial"/>
    </font>
    <font>
      <u/>
      <sz val="10"/>
      <color rgb="FFC00000"/>
      <name val="Arial"/>
    </font>
    <font>
      <b/>
      <i/>
      <sz val="10"/>
      <color theme="1"/>
      <name val="Arial"/>
    </font>
    <font>
      <b/>
      <sz val="10"/>
      <color theme="1"/>
      <name val="Arial"/>
      <family val="2"/>
    </font>
    <font>
      <sz val="10"/>
      <color theme="0" tint="-0.34998626667073579"/>
      <name val="Arial"/>
      <family val="2"/>
    </font>
    <font>
      <b/>
      <sz val="10"/>
      <color theme="0" tint="-0.34998626667073579"/>
      <name val="Arial"/>
      <family val="2"/>
    </font>
    <font>
      <sz val="10"/>
      <color rgb="FFB7B7B7"/>
      <name val="Arial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B7B7B7"/>
        <bgColor rgb="FFB7B7B7"/>
      </patternFill>
    </fill>
    <fill>
      <patternFill patternType="solid">
        <fgColor rgb="FFA61C00"/>
        <bgColor rgb="FFA61C00"/>
      </patternFill>
    </fill>
    <fill>
      <patternFill patternType="solid">
        <fgColor rgb="FFE69138"/>
        <bgColor rgb="FFE69138"/>
      </patternFill>
    </fill>
    <fill>
      <patternFill patternType="solid">
        <fgColor rgb="FFF1C232"/>
        <bgColor rgb="FFF1C232"/>
      </patternFill>
    </fill>
    <fill>
      <patternFill patternType="solid">
        <fgColor rgb="FF38761D"/>
        <bgColor rgb="FF38761D"/>
      </patternFill>
    </fill>
    <fill>
      <patternFill patternType="solid">
        <fgColor rgb="FF45818E"/>
        <bgColor rgb="FF45818E"/>
      </patternFill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</fills>
  <borders count="76">
    <border>
      <left/>
      <right/>
      <top/>
      <bottom/>
      <diagonal/>
    </border>
    <border>
      <left/>
      <right/>
      <top/>
      <bottom style="hair">
        <color rgb="FFB7B7B7"/>
      </bottom>
      <diagonal/>
    </border>
    <border>
      <left/>
      <right/>
      <top style="hair">
        <color rgb="FFB7B7B7"/>
      </top>
      <bottom style="hair">
        <color rgb="FFB7B7B7"/>
      </bottom>
      <diagonal/>
    </border>
    <border>
      <left style="thick">
        <color rgb="FFCC0000"/>
      </left>
      <right/>
      <top style="thick">
        <color rgb="FFCC0000"/>
      </top>
      <bottom style="thick">
        <color rgb="FFCC0000"/>
      </bottom>
      <diagonal/>
    </border>
    <border>
      <left/>
      <right style="thick">
        <color rgb="FFCC0000"/>
      </right>
      <top style="thick">
        <color rgb="FFCC0000"/>
      </top>
      <bottom style="thick">
        <color rgb="FFCC0000"/>
      </bottom>
      <diagonal/>
    </border>
    <border>
      <left/>
      <right/>
      <top style="hair">
        <color rgb="FFB7B7B7"/>
      </top>
      <bottom/>
      <diagonal/>
    </border>
    <border>
      <left/>
      <right style="thick">
        <color rgb="FFB7B7B7"/>
      </right>
      <top/>
      <bottom/>
      <diagonal/>
    </border>
    <border>
      <left style="thick">
        <color rgb="FFB7B7B7"/>
      </left>
      <right/>
      <top/>
      <bottom/>
      <diagonal/>
    </border>
    <border>
      <left style="thick">
        <color rgb="FFB7B7B7"/>
      </left>
      <right style="hair">
        <color rgb="FFB7B7B7"/>
      </right>
      <top style="thick">
        <color rgb="FFB7B7B7"/>
      </top>
      <bottom/>
      <diagonal/>
    </border>
    <border>
      <left style="hair">
        <color rgb="FFB7B7B7"/>
      </left>
      <right style="hair">
        <color rgb="FFB7B7B7"/>
      </right>
      <top style="thick">
        <color rgb="FFB7B7B7"/>
      </top>
      <bottom style="hair">
        <color rgb="FFB7B7B7"/>
      </bottom>
      <diagonal/>
    </border>
    <border>
      <left style="hair">
        <color rgb="FFB7B7B7"/>
      </left>
      <right/>
      <top style="thick">
        <color rgb="FFB7B7B7"/>
      </top>
      <bottom style="hair">
        <color rgb="FFB7B7B7"/>
      </bottom>
      <diagonal/>
    </border>
    <border>
      <left/>
      <right/>
      <top style="thick">
        <color rgb="FFB7B7B7"/>
      </top>
      <bottom style="hair">
        <color rgb="FFB7B7B7"/>
      </bottom>
      <diagonal/>
    </border>
    <border>
      <left/>
      <right style="hair">
        <color rgb="FFB7B7B7"/>
      </right>
      <top style="thick">
        <color rgb="FFB7B7B7"/>
      </top>
      <bottom style="hair">
        <color rgb="FFB7B7B7"/>
      </bottom>
      <diagonal/>
    </border>
    <border>
      <left style="hair">
        <color rgb="FFB7B7B7"/>
      </left>
      <right style="hair">
        <color rgb="FFB7B7B7"/>
      </right>
      <top style="thick">
        <color rgb="FFB7B7B7"/>
      </top>
      <bottom/>
      <diagonal/>
    </border>
    <border>
      <left style="hair">
        <color rgb="FFB7B7B7"/>
      </left>
      <right style="thick">
        <color rgb="FFB7B7B7"/>
      </right>
      <top style="thick">
        <color rgb="FFB7B7B7"/>
      </top>
      <bottom/>
      <diagonal/>
    </border>
    <border>
      <left style="thick">
        <color rgb="FFB7B7B7"/>
      </left>
      <right style="hair">
        <color rgb="FFB7B7B7"/>
      </right>
      <top/>
      <bottom/>
      <diagonal/>
    </border>
    <border>
      <left style="hair">
        <color rgb="FFB7B7B7"/>
      </left>
      <right style="hair">
        <color rgb="FFB7B7B7"/>
      </right>
      <top style="hair">
        <color rgb="FFB7B7B7"/>
      </top>
      <bottom/>
      <diagonal/>
    </border>
    <border>
      <left style="hair">
        <color rgb="FFB7B7B7"/>
      </left>
      <right/>
      <top style="hair">
        <color rgb="FFB7B7B7"/>
      </top>
      <bottom style="hair">
        <color rgb="FFB7B7B7"/>
      </bottom>
      <diagonal/>
    </border>
    <border>
      <left/>
      <right style="hair">
        <color rgb="FFB7B7B7"/>
      </right>
      <top style="hair">
        <color rgb="FFB7B7B7"/>
      </top>
      <bottom style="hair">
        <color rgb="FFB7B7B7"/>
      </bottom>
      <diagonal/>
    </border>
    <border>
      <left style="hair">
        <color rgb="FFB7B7B7"/>
      </left>
      <right style="hair">
        <color rgb="FFB7B7B7"/>
      </right>
      <top style="hair">
        <color rgb="FFB7B7B7"/>
      </top>
      <bottom style="hair">
        <color rgb="FFB7B7B7"/>
      </bottom>
      <diagonal/>
    </border>
    <border>
      <left style="hair">
        <color rgb="FFB7B7B7"/>
      </left>
      <right style="hair">
        <color rgb="FFB7B7B7"/>
      </right>
      <top/>
      <bottom/>
      <diagonal/>
    </border>
    <border>
      <left style="hair">
        <color rgb="FFB7B7B7"/>
      </left>
      <right style="thick">
        <color rgb="FFB7B7B7"/>
      </right>
      <top/>
      <bottom/>
      <diagonal/>
    </border>
    <border>
      <left style="hair">
        <color rgb="FFB7B7B7"/>
      </left>
      <right style="hair">
        <color rgb="FFB7B7B7"/>
      </right>
      <top/>
      <bottom style="hair">
        <color rgb="FFB7B7B7"/>
      </bottom>
      <diagonal/>
    </border>
    <border>
      <left style="hair">
        <color rgb="FFB7B7B7"/>
      </left>
      <right/>
      <top style="hair">
        <color rgb="FFB7B7B7"/>
      </top>
      <bottom/>
      <diagonal/>
    </border>
    <border>
      <left/>
      <right style="hair">
        <color rgb="FFB7B7B7"/>
      </right>
      <top style="hair">
        <color rgb="FFB7B7B7"/>
      </top>
      <bottom/>
      <diagonal/>
    </border>
    <border>
      <left/>
      <right/>
      <top style="thick">
        <color rgb="FFCC0000"/>
      </top>
      <bottom style="thick">
        <color rgb="FFCC0000"/>
      </bottom>
      <diagonal/>
    </border>
    <border>
      <left style="hair">
        <color rgb="FFB7B7B7"/>
      </left>
      <right/>
      <top/>
      <bottom/>
      <diagonal/>
    </border>
    <border>
      <left/>
      <right style="hair">
        <color rgb="FFB7B7B7"/>
      </right>
      <top/>
      <bottom/>
      <diagonal/>
    </border>
    <border>
      <left style="thick">
        <color rgb="FFB7B7B7"/>
      </left>
      <right style="hair">
        <color rgb="FFB7B7B7"/>
      </right>
      <top/>
      <bottom style="thick">
        <color rgb="FFB7B7B7"/>
      </bottom>
      <diagonal/>
    </border>
    <border>
      <left style="hair">
        <color rgb="FFB7B7B7"/>
      </left>
      <right/>
      <top/>
      <bottom style="thick">
        <color rgb="FFB7B7B7"/>
      </bottom>
      <diagonal/>
    </border>
    <border>
      <left/>
      <right style="hair">
        <color rgb="FFB7B7B7"/>
      </right>
      <top style="hair">
        <color rgb="FFB7B7B7"/>
      </top>
      <bottom style="thick">
        <color rgb="FFB7B7B7"/>
      </bottom>
      <diagonal/>
    </border>
    <border>
      <left style="hair">
        <color rgb="FFB7B7B7"/>
      </left>
      <right style="hair">
        <color rgb="FFB7B7B7"/>
      </right>
      <top style="hair">
        <color rgb="FFB7B7B7"/>
      </top>
      <bottom style="thick">
        <color rgb="FFB7B7B7"/>
      </bottom>
      <diagonal/>
    </border>
    <border>
      <left style="hair">
        <color rgb="FFB7B7B7"/>
      </left>
      <right style="thick">
        <color rgb="FFB7B7B7"/>
      </right>
      <top/>
      <bottom style="thick">
        <color rgb="FFB7B7B7"/>
      </bottom>
      <diagonal/>
    </border>
    <border>
      <left/>
      <right style="thick">
        <color rgb="FFFFFFFF"/>
      </right>
      <top/>
      <bottom/>
      <diagonal/>
    </border>
    <border>
      <left style="thick">
        <color rgb="FFFFFFFF"/>
      </left>
      <right/>
      <top/>
      <bottom/>
      <diagonal/>
    </border>
    <border>
      <left/>
      <right/>
      <top/>
      <bottom/>
      <diagonal/>
    </border>
    <border>
      <left/>
      <right/>
      <top/>
      <bottom style="hair">
        <color rgb="FFA3C0C4"/>
      </bottom>
      <diagonal/>
    </border>
    <border>
      <left/>
      <right/>
      <top/>
      <bottom style="hair">
        <color rgb="FFB7B7B7"/>
      </bottom>
      <diagonal/>
    </border>
    <border>
      <left/>
      <right/>
      <top style="hair">
        <color rgb="FFB7B7B7"/>
      </top>
      <bottom style="hair">
        <color rgb="FFB7B7B7"/>
      </bottom>
      <diagonal/>
    </border>
    <border>
      <left/>
      <right/>
      <top style="hair">
        <color rgb="FFB7B7B7"/>
      </top>
      <bottom/>
      <diagonal/>
    </border>
    <border>
      <left style="hair">
        <color rgb="FFB7B7B7"/>
      </left>
      <right style="hair">
        <color rgb="FFB7B7B7"/>
      </right>
      <top/>
      <bottom style="thick">
        <color rgb="FFB7B7B7"/>
      </bottom>
      <diagonal/>
    </border>
    <border>
      <left style="hair">
        <color rgb="FFB7B7B7"/>
      </left>
      <right/>
      <top style="hair">
        <color rgb="FFB7B7B7"/>
      </top>
      <bottom style="thick">
        <color rgb="FFB7B7B7"/>
      </bottom>
      <diagonal/>
    </border>
    <border>
      <left/>
      <right/>
      <top style="hair">
        <color rgb="FFB7B7B7"/>
      </top>
      <bottom style="thick">
        <color rgb="FFB7B7B7"/>
      </bottom>
      <diagonal/>
    </border>
    <border>
      <left style="hair">
        <color rgb="FFB7B7B7"/>
      </left>
      <right/>
      <top/>
      <bottom style="hair">
        <color rgb="FFB7B7B7"/>
      </bottom>
      <diagonal/>
    </border>
    <border>
      <left/>
      <right style="hair">
        <color rgb="FFB7B7B7"/>
      </right>
      <top/>
      <bottom style="hair">
        <color rgb="FFB7B7B7"/>
      </bottom>
      <diagonal/>
    </border>
    <border>
      <left/>
      <right/>
      <top style="hair">
        <color rgb="FFA3C0C4"/>
      </top>
      <bottom style="hair">
        <color rgb="FFA3C0C4"/>
      </bottom>
      <diagonal/>
    </border>
    <border>
      <left style="thick">
        <color rgb="FFB7B7B7"/>
      </left>
      <right/>
      <top style="thick">
        <color rgb="FFB7B7B7"/>
      </top>
      <bottom/>
      <diagonal/>
    </border>
    <border>
      <left/>
      <right/>
      <top style="thick">
        <color rgb="FFB7B7B7"/>
      </top>
      <bottom/>
      <diagonal/>
    </border>
    <border>
      <left/>
      <right style="thick">
        <color rgb="FFB7B7B7"/>
      </right>
      <top style="thick">
        <color rgb="FFB7B7B7"/>
      </top>
      <bottom/>
      <diagonal/>
    </border>
    <border>
      <left/>
      <right style="thick">
        <color rgb="FFB7B7B7"/>
      </right>
      <top/>
      <bottom style="thick">
        <color rgb="FFB7B7B7"/>
      </bottom>
      <diagonal/>
    </border>
    <border>
      <left style="thick">
        <color rgb="FFB7B7B7"/>
      </left>
      <right/>
      <top/>
      <bottom style="thick">
        <color rgb="FFB7B7B7"/>
      </bottom>
      <diagonal/>
    </border>
    <border>
      <left/>
      <right/>
      <top/>
      <bottom style="thick">
        <color rgb="FFB7B7B7"/>
      </bottom>
      <diagonal/>
    </border>
    <border>
      <left/>
      <right style="thick">
        <color rgb="FFB7B7B7"/>
      </right>
      <top/>
      <bottom style="thick">
        <color rgb="FFB7B7B7"/>
      </bottom>
      <diagonal/>
    </border>
    <border>
      <left style="thick">
        <color rgb="FFB7B7B7"/>
      </left>
      <right/>
      <top/>
      <bottom style="thick">
        <color rgb="FFB7B7B7"/>
      </bottom>
      <diagonal/>
    </border>
    <border>
      <left/>
      <right/>
      <top/>
      <bottom style="thick">
        <color rgb="FFB7B7B7"/>
      </bottom>
      <diagonal/>
    </border>
    <border>
      <left style="thick">
        <color rgb="FFB7B7B7"/>
      </left>
      <right/>
      <top style="thick">
        <color rgb="FFB7B7B7"/>
      </top>
      <bottom style="hair">
        <color rgb="FFB7B7B7"/>
      </bottom>
      <diagonal/>
    </border>
    <border>
      <left/>
      <right/>
      <top style="thick">
        <color rgb="FFB7B7B7"/>
      </top>
      <bottom style="hair">
        <color rgb="FFB7B7B7"/>
      </bottom>
      <diagonal/>
    </border>
    <border>
      <left/>
      <right style="thick">
        <color rgb="FFB7B7B7"/>
      </right>
      <top style="thick">
        <color rgb="FFB7B7B7"/>
      </top>
      <bottom style="hair">
        <color rgb="FFB7B7B7"/>
      </bottom>
      <diagonal/>
    </border>
    <border>
      <left style="thick">
        <color rgb="FFB7B7B7"/>
      </left>
      <right/>
      <top style="hair">
        <color rgb="FFB7B7B7"/>
      </top>
      <bottom style="hair">
        <color rgb="FFB7B7B7"/>
      </bottom>
      <diagonal/>
    </border>
    <border>
      <left/>
      <right style="thick">
        <color rgb="FFB7B7B7"/>
      </right>
      <top style="hair">
        <color rgb="FFB7B7B7"/>
      </top>
      <bottom style="hair">
        <color rgb="FFB7B7B7"/>
      </bottom>
      <diagonal/>
    </border>
    <border>
      <left style="thick">
        <color rgb="FFB7B7B7"/>
      </left>
      <right/>
      <top/>
      <bottom/>
      <diagonal/>
    </border>
    <border>
      <left/>
      <right/>
      <top/>
      <bottom/>
      <diagonal/>
    </border>
    <border>
      <left/>
      <right style="thick">
        <color rgb="FFB7B7B7"/>
      </right>
      <top/>
      <bottom/>
      <diagonal/>
    </border>
    <border>
      <left/>
      <right/>
      <top/>
      <bottom style="thick">
        <color rgb="FFB7B7B7"/>
      </bottom>
      <diagonal/>
    </border>
    <border>
      <left/>
      <right style="thick">
        <color rgb="FFB7B7B7"/>
      </right>
      <top/>
      <bottom style="thick">
        <color rgb="FFB7B7B7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hair">
        <color rgb="FFB7B7B7"/>
      </top>
      <bottom style="hair">
        <color rgb="FFA3C0C4"/>
      </bottom>
      <diagonal/>
    </border>
    <border>
      <left style="thick">
        <color rgb="FFB7B7B7"/>
      </left>
      <right/>
      <top style="hair">
        <color rgb="FFA3C0C4"/>
      </top>
      <bottom style="hair">
        <color rgb="FFB7B7B7"/>
      </bottom>
      <diagonal/>
    </border>
    <border>
      <left/>
      <right/>
      <top style="hair">
        <color rgb="FFA3C0C4"/>
      </top>
      <bottom style="hair">
        <color rgb="FFB7B7B7"/>
      </bottom>
      <diagonal/>
    </border>
    <border>
      <left/>
      <right style="thick">
        <color rgb="FFB7B7B7"/>
      </right>
      <top style="hair">
        <color rgb="FFA3C0C4"/>
      </top>
      <bottom style="hair">
        <color rgb="FFB7B7B7"/>
      </bottom>
      <diagonal/>
    </border>
    <border>
      <left style="thick">
        <color rgb="FFB7B7B7"/>
      </left>
      <right/>
      <top/>
      <bottom style="hair">
        <color rgb="FFB7B7B7"/>
      </bottom>
      <diagonal/>
    </border>
    <border>
      <left/>
      <right style="thick">
        <color rgb="FFB7B7B7"/>
      </right>
      <top/>
      <bottom style="hair">
        <color rgb="FFB7B7B7"/>
      </bottom>
      <diagonal/>
    </border>
    <border>
      <left style="thick">
        <color rgb="FFB7B7B7"/>
      </left>
      <right/>
      <top style="hair">
        <color rgb="FFB7B7B7"/>
      </top>
      <bottom style="thick">
        <color rgb="FFB7B7B7"/>
      </bottom>
      <diagonal/>
    </border>
    <border>
      <left/>
      <right style="thick">
        <color rgb="FFB7B7B7"/>
      </right>
      <top style="hair">
        <color rgb="FFB7B7B7"/>
      </top>
      <bottom style="thick">
        <color rgb="FFB7B7B7"/>
      </bottom>
      <diagonal/>
    </border>
  </borders>
  <cellStyleXfs count="1">
    <xf numFmtId="0" fontId="0" fillId="0" borderId="0"/>
  </cellStyleXfs>
  <cellXfs count="250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2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2" fontId="8" fillId="0" borderId="0" xfId="0" applyNumberFormat="1" applyFont="1" applyAlignment="1">
      <alignment horizontal="right" vertical="center"/>
    </xf>
    <xf numFmtId="165" fontId="8" fillId="0" borderId="33" xfId="0" applyNumberFormat="1" applyFont="1" applyBorder="1" applyAlignment="1">
      <alignment horizontal="left" vertical="center"/>
    </xf>
    <xf numFmtId="165" fontId="9" fillId="0" borderId="0" xfId="0" applyNumberFormat="1" applyFont="1" applyAlignment="1">
      <alignment horizontal="right" vertical="center"/>
    </xf>
    <xf numFmtId="165" fontId="9" fillId="0" borderId="0" xfId="0" applyNumberFormat="1" applyFont="1" applyAlignment="1">
      <alignment horizontal="left" vertical="center"/>
    </xf>
    <xf numFmtId="165" fontId="11" fillId="2" borderId="34" xfId="0" applyNumberFormat="1" applyFont="1" applyFill="1" applyBorder="1" applyAlignment="1">
      <alignment horizontal="right" vertical="center"/>
    </xf>
    <xf numFmtId="1" fontId="11" fillId="2" borderId="35" xfId="0" applyNumberFormat="1" applyFont="1" applyFill="1" applyBorder="1" applyAlignment="1">
      <alignment horizontal="left" vertical="center"/>
    </xf>
    <xf numFmtId="2" fontId="6" fillId="0" borderId="0" xfId="0" applyNumberFormat="1" applyFont="1" applyAlignment="1">
      <alignment horizontal="left" vertical="center"/>
    </xf>
    <xf numFmtId="165" fontId="6" fillId="0" borderId="0" xfId="0" applyNumberFormat="1" applyFont="1" applyAlignment="1">
      <alignment horizontal="left" vertical="center"/>
    </xf>
    <xf numFmtId="165" fontId="1" fillId="0" borderId="0" xfId="0" applyNumberFormat="1" applyFont="1" applyAlignment="1">
      <alignment horizontal="right" vertical="center"/>
    </xf>
    <xf numFmtId="165" fontId="1" fillId="0" borderId="0" xfId="0" applyNumberFormat="1" applyFont="1" applyAlignment="1">
      <alignment horizontal="left" vertical="center"/>
    </xf>
    <xf numFmtId="165" fontId="6" fillId="0" borderId="0" xfId="0" applyNumberFormat="1" applyFont="1" applyAlignment="1">
      <alignment horizontal="right" vertical="center"/>
    </xf>
    <xf numFmtId="1" fontId="6" fillId="0" borderId="0" xfId="0" applyNumberFormat="1" applyFont="1" applyAlignment="1">
      <alignment horizontal="left" vertical="center"/>
    </xf>
    <xf numFmtId="2" fontId="6" fillId="0" borderId="36" xfId="0" applyNumberFormat="1" applyFont="1" applyBorder="1" applyAlignment="1">
      <alignment horizontal="left" vertical="center"/>
    </xf>
    <xf numFmtId="0" fontId="1" fillId="3" borderId="37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9" fontId="6" fillId="0" borderId="1" xfId="0" applyNumberFormat="1" applyFont="1" applyBorder="1" applyAlignment="1">
      <alignment horizontal="center" vertical="center"/>
    </xf>
    <xf numFmtId="9" fontId="6" fillId="0" borderId="0" xfId="0" applyNumberFormat="1" applyFont="1" applyAlignment="1">
      <alignment horizontal="center" vertical="center"/>
    </xf>
    <xf numFmtId="2" fontId="6" fillId="0" borderId="1" xfId="0" applyNumberFormat="1" applyFont="1" applyBorder="1" applyAlignment="1">
      <alignment horizontal="left" vertical="center"/>
    </xf>
    <xf numFmtId="165" fontId="1" fillId="0" borderId="1" xfId="0" applyNumberFormat="1" applyFont="1" applyBorder="1" applyAlignment="1">
      <alignment horizontal="right" vertical="center"/>
    </xf>
    <xf numFmtId="165" fontId="1" fillId="0" borderId="1" xfId="0" applyNumberFormat="1" applyFont="1" applyBorder="1" applyAlignment="1">
      <alignment horizontal="left" vertical="center"/>
    </xf>
    <xf numFmtId="165" fontId="6" fillId="0" borderId="1" xfId="0" applyNumberFormat="1" applyFont="1" applyBorder="1" applyAlignment="1">
      <alignment horizontal="right" vertical="center"/>
    </xf>
    <xf numFmtId="1" fontId="6" fillId="0" borderId="1" xfId="0" applyNumberFormat="1" applyFont="1" applyBorder="1" applyAlignment="1">
      <alignment horizontal="left" vertical="center"/>
    </xf>
    <xf numFmtId="0" fontId="1" fillId="4" borderId="38" xfId="0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9" fontId="6" fillId="0" borderId="2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left" vertical="center"/>
    </xf>
    <xf numFmtId="165" fontId="1" fillId="0" borderId="2" xfId="0" applyNumberFormat="1" applyFont="1" applyBorder="1" applyAlignment="1">
      <alignment horizontal="right" vertical="center"/>
    </xf>
    <xf numFmtId="165" fontId="1" fillId="0" borderId="2" xfId="0" applyNumberFormat="1" applyFont="1" applyBorder="1" applyAlignment="1">
      <alignment horizontal="left" vertical="center"/>
    </xf>
    <xf numFmtId="165" fontId="6" fillId="0" borderId="2" xfId="0" applyNumberFormat="1" applyFont="1" applyBorder="1" applyAlignment="1">
      <alignment horizontal="right" vertical="center"/>
    </xf>
    <xf numFmtId="1" fontId="6" fillId="0" borderId="2" xfId="0" applyNumberFormat="1" applyFont="1" applyBorder="1" applyAlignment="1">
      <alignment horizontal="left" vertical="center"/>
    </xf>
    <xf numFmtId="0" fontId="1" fillId="5" borderId="38" xfId="0" applyFont="1" applyFill="1" applyBorder="1" applyAlignment="1">
      <alignment vertical="center"/>
    </xf>
    <xf numFmtId="0" fontId="1" fillId="6" borderId="38" xfId="0" applyFont="1" applyFill="1" applyBorder="1" applyAlignment="1">
      <alignment vertical="center"/>
    </xf>
    <xf numFmtId="0" fontId="1" fillId="7" borderId="39" xfId="0" applyFont="1" applyFill="1" applyBorder="1" applyAlignment="1">
      <alignment vertical="center"/>
    </xf>
    <xf numFmtId="2" fontId="6" fillId="0" borderId="5" xfId="0" applyNumberFormat="1" applyFont="1" applyBorder="1" applyAlignment="1">
      <alignment horizontal="left" vertical="center"/>
    </xf>
    <xf numFmtId="165" fontId="1" fillId="0" borderId="5" xfId="0" applyNumberFormat="1" applyFont="1" applyBorder="1" applyAlignment="1">
      <alignment horizontal="right" vertical="center"/>
    </xf>
    <xf numFmtId="165" fontId="1" fillId="0" borderId="5" xfId="0" applyNumberFormat="1" applyFont="1" applyBorder="1" applyAlignment="1">
      <alignment horizontal="left" vertical="center"/>
    </xf>
    <xf numFmtId="165" fontId="6" fillId="0" borderId="5" xfId="0" applyNumberFormat="1" applyFont="1" applyBorder="1" applyAlignment="1">
      <alignment horizontal="right" vertical="center"/>
    </xf>
    <xf numFmtId="1" fontId="6" fillId="0" borderId="5" xfId="0" applyNumberFormat="1" applyFont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165" fontId="6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" fillId="0" borderId="36" xfId="0" applyFont="1" applyBorder="1" applyAlignment="1">
      <alignment horizontal="left" vertical="center"/>
    </xf>
    <xf numFmtId="0" fontId="13" fillId="0" borderId="36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4" fillId="0" borderId="45" xfId="0" applyFont="1" applyBorder="1" applyAlignment="1">
      <alignment horizontal="left" vertical="center"/>
    </xf>
    <xf numFmtId="0" fontId="6" fillId="0" borderId="45" xfId="0" applyFont="1" applyBorder="1" applyAlignment="1">
      <alignment horizontal="right" vertical="center"/>
    </xf>
    <xf numFmtId="0" fontId="14" fillId="0" borderId="0" xfId="0" applyFont="1" applyAlignment="1">
      <alignment horizontal="left" vertical="center"/>
    </xf>
    <xf numFmtId="167" fontId="6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center"/>
    </xf>
    <xf numFmtId="0" fontId="7" fillId="0" borderId="49" xfId="0" applyFont="1" applyBorder="1" applyAlignment="1">
      <alignment vertical="center"/>
    </xf>
    <xf numFmtId="0" fontId="7" fillId="0" borderId="53" xfId="0" applyFont="1" applyBorder="1" applyAlignment="1">
      <alignment horizontal="right" vertical="center"/>
    </xf>
    <xf numFmtId="0" fontId="7" fillId="0" borderId="54" xfId="0" applyFont="1" applyBorder="1" applyAlignment="1">
      <alignment horizontal="center" vertical="center"/>
    </xf>
    <xf numFmtId="0" fontId="7" fillId="0" borderId="49" xfId="0" applyFont="1" applyBorder="1" applyAlignment="1">
      <alignment horizontal="left" vertical="center"/>
    </xf>
    <xf numFmtId="0" fontId="7" fillId="0" borderId="53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2" fontId="5" fillId="0" borderId="55" xfId="0" applyNumberFormat="1" applyFont="1" applyBorder="1" applyAlignment="1">
      <alignment horizontal="right" vertical="center"/>
    </xf>
    <xf numFmtId="0" fontId="5" fillId="8" borderId="56" xfId="0" applyFont="1" applyFill="1" applyBorder="1" applyAlignment="1">
      <alignment horizontal="left" vertical="center"/>
    </xf>
    <xf numFmtId="167" fontId="5" fillId="0" borderId="57" xfId="0" applyNumberFormat="1" applyFont="1" applyBorder="1" applyAlignment="1">
      <alignment horizontal="center" vertical="center"/>
    </xf>
    <xf numFmtId="167" fontId="16" fillId="0" borderId="1" xfId="0" applyNumberFormat="1" applyFont="1" applyBorder="1" applyAlignment="1">
      <alignment vertical="center"/>
    </xf>
    <xf numFmtId="0" fontId="16" fillId="8" borderId="37" xfId="0" applyFont="1" applyFill="1" applyBorder="1" applyAlignment="1">
      <alignment horizontal="center" vertical="center"/>
    </xf>
    <xf numFmtId="0" fontId="16" fillId="8" borderId="37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2" fontId="5" fillId="0" borderId="58" xfId="0" applyNumberFormat="1" applyFont="1" applyBorder="1" applyAlignment="1">
      <alignment horizontal="right" vertical="center"/>
    </xf>
    <xf numFmtId="0" fontId="5" fillId="8" borderId="38" xfId="0" applyFont="1" applyFill="1" applyBorder="1" applyAlignment="1">
      <alignment horizontal="left" vertical="center"/>
    </xf>
    <xf numFmtId="167" fontId="5" fillId="0" borderId="59" xfId="0" applyNumberFormat="1" applyFont="1" applyBorder="1" applyAlignment="1">
      <alignment horizontal="center" vertical="center"/>
    </xf>
    <xf numFmtId="167" fontId="16" fillId="0" borderId="2" xfId="0" applyNumberFormat="1" applyFont="1" applyBorder="1" applyAlignment="1">
      <alignment vertical="center"/>
    </xf>
    <xf numFmtId="0" fontId="16" fillId="8" borderId="38" xfId="0" applyFont="1" applyFill="1" applyBorder="1" applyAlignment="1">
      <alignment horizontal="center" vertical="center"/>
    </xf>
    <xf numFmtId="0" fontId="16" fillId="8" borderId="38" xfId="0" applyFont="1" applyFill="1" applyBorder="1" applyAlignment="1">
      <alignment horizontal="left" vertical="center"/>
    </xf>
    <xf numFmtId="0" fontId="16" fillId="0" borderId="2" xfId="0" applyFont="1" applyBorder="1" applyAlignment="1">
      <alignment vertical="center"/>
    </xf>
    <xf numFmtId="167" fontId="16" fillId="0" borderId="2" xfId="0" applyNumberFormat="1" applyFont="1" applyBorder="1" applyAlignment="1">
      <alignment horizontal="left" vertical="center"/>
    </xf>
    <xf numFmtId="1" fontId="17" fillId="2" borderId="60" xfId="0" applyNumberFormat="1" applyFont="1" applyFill="1" applyBorder="1" applyAlignment="1">
      <alignment vertical="center"/>
    </xf>
    <xf numFmtId="0" fontId="17" fillId="2" borderId="61" xfId="0" applyFont="1" applyFill="1" applyBorder="1" applyAlignment="1">
      <alignment vertical="center"/>
    </xf>
    <xf numFmtId="167" fontId="17" fillId="2" borderId="62" xfId="0" applyNumberFormat="1" applyFont="1" applyFill="1" applyBorder="1" applyAlignment="1">
      <alignment horizontal="center" vertical="center"/>
    </xf>
    <xf numFmtId="167" fontId="18" fillId="0" borderId="0" xfId="0" applyNumberFormat="1" applyFont="1" applyAlignment="1">
      <alignment vertical="center"/>
    </xf>
    <xf numFmtId="0" fontId="18" fillId="8" borderId="61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167" fontId="18" fillId="0" borderId="0" xfId="0" applyNumberFormat="1" applyFont="1" applyAlignment="1">
      <alignment horizontal="left" vertical="center"/>
    </xf>
    <xf numFmtId="0" fontId="19" fillId="0" borderId="0" xfId="0" applyFont="1" applyAlignment="1">
      <alignment vertical="center"/>
    </xf>
    <xf numFmtId="0" fontId="20" fillId="2" borderId="64" xfId="0" applyFont="1" applyFill="1" applyBorder="1" applyAlignment="1">
      <alignment horizontal="center" vertical="center"/>
    </xf>
    <xf numFmtId="0" fontId="18" fillId="8" borderId="35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3" fillId="0" borderId="68" xfId="0" applyFont="1" applyBorder="1" applyAlignment="1">
      <alignment vertical="center"/>
    </xf>
    <xf numFmtId="2" fontId="5" fillId="0" borderId="69" xfId="0" applyNumberFormat="1" applyFont="1" applyBorder="1" applyAlignment="1">
      <alignment horizontal="right" vertical="center"/>
    </xf>
    <xf numFmtId="0" fontId="5" fillId="0" borderId="70" xfId="0" applyFont="1" applyBorder="1" applyAlignment="1">
      <alignment vertical="center"/>
    </xf>
    <xf numFmtId="167" fontId="5" fillId="0" borderId="71" xfId="0" applyNumberFormat="1" applyFont="1" applyBorder="1" applyAlignment="1">
      <alignment horizontal="center" vertical="center"/>
    </xf>
    <xf numFmtId="167" fontId="16" fillId="0" borderId="70" xfId="0" applyNumberFormat="1" applyFont="1" applyBorder="1" applyAlignment="1">
      <alignment horizontal="right" vertical="center"/>
    </xf>
    <xf numFmtId="167" fontId="16" fillId="0" borderId="70" xfId="0" applyNumberFormat="1" applyFont="1" applyBorder="1" applyAlignment="1">
      <alignment horizontal="center" vertical="center"/>
    </xf>
    <xf numFmtId="0" fontId="16" fillId="0" borderId="70" xfId="0" applyFont="1" applyBorder="1" applyAlignment="1">
      <alignment vertical="center"/>
    </xf>
    <xf numFmtId="167" fontId="16" fillId="0" borderId="70" xfId="0" applyNumberFormat="1" applyFont="1" applyBorder="1" applyAlignment="1">
      <alignment horizontal="left" vertical="center"/>
    </xf>
    <xf numFmtId="2" fontId="5" fillId="0" borderId="72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167" fontId="16" fillId="0" borderId="1" xfId="0" applyNumberFormat="1" applyFont="1" applyBorder="1" applyAlignment="1">
      <alignment horizontal="right" vertical="center"/>
    </xf>
    <xf numFmtId="167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167" fontId="16" fillId="0" borderId="1" xfId="0" applyNumberFormat="1" applyFont="1" applyBorder="1" applyAlignment="1">
      <alignment horizontal="left" vertical="center"/>
    </xf>
    <xf numFmtId="0" fontId="24" fillId="0" borderId="1" xfId="0" applyFont="1" applyBorder="1" applyAlignment="1">
      <alignment vertical="center"/>
    </xf>
    <xf numFmtId="1" fontId="6" fillId="0" borderId="72" xfId="0" applyNumberFormat="1" applyFont="1" applyBorder="1" applyAlignment="1">
      <alignment horizontal="right" vertical="center"/>
    </xf>
    <xf numFmtId="165" fontId="6" fillId="0" borderId="1" xfId="0" applyNumberFormat="1" applyFont="1" applyBorder="1" applyAlignment="1">
      <alignment vertical="center"/>
    </xf>
    <xf numFmtId="167" fontId="6" fillId="0" borderId="73" xfId="0" applyNumberFormat="1" applyFont="1" applyBorder="1" applyAlignment="1">
      <alignment horizontal="center" vertical="center"/>
    </xf>
    <xf numFmtId="0" fontId="25" fillId="0" borderId="2" xfId="0" applyFont="1" applyBorder="1" applyAlignment="1">
      <alignment vertical="center"/>
    </xf>
    <xf numFmtId="1" fontId="6" fillId="0" borderId="58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167" fontId="6" fillId="0" borderId="59" xfId="0" applyNumberFormat="1" applyFont="1" applyBorder="1" applyAlignment="1">
      <alignment horizontal="center" vertical="center"/>
    </xf>
    <xf numFmtId="167" fontId="16" fillId="0" borderId="2" xfId="0" applyNumberFormat="1" applyFont="1" applyBorder="1" applyAlignment="1">
      <alignment horizontal="right" vertical="center"/>
    </xf>
    <xf numFmtId="167" fontId="16" fillId="0" borderId="2" xfId="0" applyNumberFormat="1" applyFont="1" applyBorder="1" applyAlignment="1">
      <alignment horizontal="center" vertical="center"/>
    </xf>
    <xf numFmtId="165" fontId="6" fillId="0" borderId="74" xfId="0" applyNumberFormat="1" applyFont="1" applyBorder="1" applyAlignment="1">
      <alignment horizontal="right" vertical="center"/>
    </xf>
    <xf numFmtId="165" fontId="6" fillId="0" borderId="42" xfId="0" applyNumberFormat="1" applyFont="1" applyBorder="1" applyAlignment="1">
      <alignment vertical="center"/>
    </xf>
    <xf numFmtId="167" fontId="6" fillId="0" borderId="75" xfId="0" applyNumberFormat="1" applyFont="1" applyBorder="1" applyAlignment="1">
      <alignment horizontal="center" vertical="center"/>
    </xf>
    <xf numFmtId="167" fontId="16" fillId="0" borderId="68" xfId="0" applyNumberFormat="1" applyFont="1" applyBorder="1" applyAlignment="1">
      <alignment horizontal="right" vertical="center"/>
    </xf>
    <xf numFmtId="167" fontId="16" fillId="0" borderId="68" xfId="0" applyNumberFormat="1" applyFont="1" applyBorder="1" applyAlignment="1">
      <alignment horizontal="center" vertical="center"/>
    </xf>
    <xf numFmtId="0" fontId="16" fillId="0" borderId="68" xfId="0" applyFont="1" applyBorder="1" applyAlignment="1">
      <alignment vertical="center"/>
    </xf>
    <xf numFmtId="167" fontId="16" fillId="0" borderId="68" xfId="0" applyNumberFormat="1" applyFont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3" fillId="0" borderId="22" xfId="0" applyFont="1" applyBorder="1"/>
    <xf numFmtId="0" fontId="1" fillId="0" borderId="23" xfId="0" applyFont="1" applyBorder="1" applyAlignment="1">
      <alignment vertical="center"/>
    </xf>
    <xf numFmtId="0" fontId="3" fillId="0" borderId="26" xfId="0" applyFont="1" applyBorder="1"/>
    <xf numFmtId="0" fontId="3" fillId="0" borderId="29" xfId="0" applyFont="1" applyBorder="1"/>
    <xf numFmtId="0" fontId="6" fillId="0" borderId="3" xfId="0" applyFont="1" applyBorder="1" applyAlignment="1">
      <alignment vertical="center"/>
    </xf>
    <xf numFmtId="0" fontId="3" fillId="0" borderId="25" xfId="0" applyFont="1" applyBorder="1"/>
    <xf numFmtId="0" fontId="3" fillId="0" borderId="4" xfId="0" applyFont="1" applyBorder="1"/>
    <xf numFmtId="0" fontId="5" fillId="0" borderId="26" xfId="0" applyFont="1" applyBorder="1" applyAlignment="1">
      <alignment vertical="center"/>
    </xf>
    <xf numFmtId="0" fontId="0" fillId="0" borderId="0" xfId="0" applyFont="1" applyAlignment="1"/>
    <xf numFmtId="0" fontId="3" fillId="0" borderId="27" xfId="0" applyFont="1" applyBorder="1"/>
    <xf numFmtId="2" fontId="6" fillId="0" borderId="36" xfId="0" applyNumberFormat="1" applyFont="1" applyBorder="1" applyAlignment="1">
      <alignment horizontal="left" vertical="center"/>
    </xf>
    <xf numFmtId="0" fontId="3" fillId="0" borderId="36" xfId="0" applyFont="1" applyBorder="1"/>
    <xf numFmtId="0" fontId="1" fillId="0" borderId="8" xfId="0" applyFont="1" applyBorder="1" applyAlignment="1">
      <alignment horizontal="center" vertical="center"/>
    </xf>
    <xf numFmtId="0" fontId="3" fillId="0" borderId="15" xfId="0" applyFont="1" applyBorder="1"/>
    <xf numFmtId="0" fontId="3" fillId="0" borderId="28" xfId="0" applyFont="1" applyBorder="1"/>
    <xf numFmtId="0" fontId="5" fillId="0" borderId="23" xfId="0" applyFont="1" applyBorder="1" applyAlignment="1">
      <alignment vertical="center"/>
    </xf>
    <xf numFmtId="0" fontId="3" fillId="0" borderId="5" xfId="0" applyFont="1" applyBorder="1"/>
    <xf numFmtId="0" fontId="3" fillId="0" borderId="24" xfId="0" applyFont="1" applyBorder="1"/>
    <xf numFmtId="0" fontId="5" fillId="0" borderId="3" xfId="0" applyFont="1" applyBorder="1" applyAlignment="1">
      <alignment vertical="center"/>
    </xf>
    <xf numFmtId="165" fontId="7" fillId="0" borderId="7" xfId="0" applyNumberFormat="1" applyFont="1" applyBorder="1" applyAlignment="1">
      <alignment horizontal="center" vertical="center"/>
    </xf>
    <xf numFmtId="1" fontId="9" fillId="0" borderId="14" xfId="0" applyNumberFormat="1" applyFont="1" applyBorder="1" applyAlignment="1">
      <alignment horizontal="center" vertical="center"/>
    </xf>
    <xf numFmtId="0" fontId="3" fillId="0" borderId="21" xfId="0" applyFont="1" applyBorder="1"/>
    <xf numFmtId="0" fontId="3" fillId="0" borderId="32" xfId="0" applyFont="1" applyBorder="1"/>
    <xf numFmtId="0" fontId="6" fillId="0" borderId="10" xfId="0" applyFont="1" applyBorder="1" applyAlignment="1">
      <alignment horizontal="left" vertical="center"/>
    </xf>
    <xf numFmtId="0" fontId="3" fillId="0" borderId="11" xfId="0" applyFont="1" applyBorder="1"/>
    <xf numFmtId="0" fontId="3" fillId="0" borderId="12" xfId="0" applyFont="1" applyBorder="1"/>
    <xf numFmtId="0" fontId="6" fillId="0" borderId="17" xfId="0" applyFont="1" applyBorder="1" applyAlignment="1">
      <alignment vertical="center"/>
    </xf>
    <xf numFmtId="0" fontId="3" fillId="0" borderId="2" xfId="0" applyFont="1" applyBorder="1"/>
    <xf numFmtId="0" fontId="3" fillId="0" borderId="18" xfId="0" applyFont="1" applyBorder="1"/>
    <xf numFmtId="0" fontId="7" fillId="0" borderId="7" xfId="0" applyFont="1" applyBorder="1" applyAlignment="1">
      <alignment horizontal="center" vertical="center"/>
    </xf>
    <xf numFmtId="0" fontId="3" fillId="0" borderId="6" xfId="0" applyFont="1" applyBorder="1"/>
    <xf numFmtId="2" fontId="7" fillId="0" borderId="7" xfId="0" applyNumberFormat="1" applyFont="1" applyBorder="1" applyAlignment="1">
      <alignment horizontal="center" vertical="center"/>
    </xf>
    <xf numFmtId="0" fontId="3" fillId="0" borderId="20" xfId="0" applyFont="1" applyBorder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/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10" fontId="6" fillId="0" borderId="3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5" fillId="0" borderId="17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3" fillId="0" borderId="42" xfId="0" applyFont="1" applyBorder="1"/>
    <xf numFmtId="0" fontId="3" fillId="0" borderId="30" xfId="0" applyFont="1" applyBorder="1"/>
    <xf numFmtId="0" fontId="3" fillId="0" borderId="40" xfId="0" applyFont="1" applyBorder="1"/>
    <xf numFmtId="166" fontId="6" fillId="0" borderId="2" xfId="0" applyNumberFormat="1" applyFont="1" applyBorder="1" applyAlignment="1">
      <alignment horizontal="center" vertical="center"/>
    </xf>
    <xf numFmtId="0" fontId="6" fillId="0" borderId="43" xfId="0" applyFont="1" applyBorder="1" applyAlignment="1">
      <alignment vertical="center"/>
    </xf>
    <xf numFmtId="0" fontId="3" fillId="0" borderId="44" xfId="0" applyFont="1" applyBorder="1"/>
    <xf numFmtId="0" fontId="15" fillId="2" borderId="50" xfId="0" applyFont="1" applyFill="1" applyBorder="1" applyAlignment="1">
      <alignment horizontal="center" vertical="top"/>
    </xf>
    <xf numFmtId="0" fontId="3" fillId="0" borderId="51" xfId="0" applyFont="1" applyBorder="1"/>
    <xf numFmtId="0" fontId="3" fillId="0" borderId="52" xfId="0" applyFont="1" applyBorder="1"/>
    <xf numFmtId="168" fontId="17" fillId="2" borderId="46" xfId="0" applyNumberFormat="1" applyFont="1" applyFill="1" applyBorder="1" applyAlignment="1">
      <alignment horizontal="center" vertical="center"/>
    </xf>
    <xf numFmtId="0" fontId="3" fillId="0" borderId="47" xfId="0" applyFont="1" applyBorder="1"/>
    <xf numFmtId="0" fontId="3" fillId="0" borderId="48" xfId="0" applyFont="1" applyBorder="1"/>
    <xf numFmtId="0" fontId="20" fillId="2" borderId="50" xfId="0" applyFont="1" applyFill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1" fillId="2" borderId="46" xfId="0" applyFont="1" applyFill="1" applyBorder="1" applyAlignment="1">
      <alignment horizontal="center"/>
    </xf>
    <xf numFmtId="0" fontId="3" fillId="0" borderId="63" xfId="0" applyFont="1" applyBorder="1"/>
    <xf numFmtId="168" fontId="22" fillId="9" borderId="65" xfId="0" applyNumberFormat="1" applyFont="1" applyFill="1" applyBorder="1" applyAlignment="1">
      <alignment horizontal="center"/>
    </xf>
    <xf numFmtId="0" fontId="3" fillId="0" borderId="66" xfId="0" applyFont="1" applyBorder="1"/>
    <xf numFmtId="0" fontId="3" fillId="0" borderId="67" xfId="0" applyFont="1" applyBorder="1"/>
    <xf numFmtId="0" fontId="22" fillId="9" borderId="65" xfId="0" applyFont="1" applyFill="1" applyBorder="1" applyAlignment="1">
      <alignment horizontal="center" vertical="top"/>
    </xf>
    <xf numFmtId="0" fontId="27" fillId="0" borderId="4" xfId="0" applyFont="1" applyBorder="1" applyAlignment="1">
      <alignment horizontal="left" vertical="center"/>
    </xf>
    <xf numFmtId="2" fontId="28" fillId="0" borderId="0" xfId="0" applyNumberFormat="1" applyFont="1" applyAlignment="1">
      <alignment horizontal="right" vertical="center"/>
    </xf>
    <xf numFmtId="165" fontId="28" fillId="0" borderId="33" xfId="0" applyNumberFormat="1" applyFont="1" applyBorder="1" applyAlignment="1">
      <alignment horizontal="left" vertical="center"/>
    </xf>
    <xf numFmtId="2" fontId="29" fillId="0" borderId="9" xfId="0" applyNumberFormat="1" applyFont="1" applyBorder="1" applyAlignment="1">
      <alignment horizontal="right" vertical="center"/>
    </xf>
    <xf numFmtId="1" fontId="29" fillId="0" borderId="13" xfId="0" applyNumberFormat="1" applyFont="1" applyBorder="1" applyAlignment="1">
      <alignment horizontal="center" vertical="center"/>
    </xf>
    <xf numFmtId="165" fontId="29" fillId="0" borderId="9" xfId="0" applyNumberFormat="1" applyFont="1" applyBorder="1" applyAlignment="1">
      <alignment horizontal="right" vertical="center"/>
    </xf>
    <xf numFmtId="165" fontId="29" fillId="0" borderId="13" xfId="0" applyNumberFormat="1" applyFont="1" applyBorder="1" applyAlignment="1">
      <alignment horizontal="center" vertical="center"/>
    </xf>
    <xf numFmtId="165" fontId="28" fillId="0" borderId="9" xfId="0" applyNumberFormat="1" applyFont="1" applyBorder="1" applyAlignment="1">
      <alignment horizontal="right" vertical="center"/>
    </xf>
    <xf numFmtId="2" fontId="29" fillId="0" borderId="19" xfId="0" applyNumberFormat="1" applyFont="1" applyBorder="1" applyAlignment="1">
      <alignment horizontal="right" vertical="center"/>
    </xf>
    <xf numFmtId="0" fontId="29" fillId="0" borderId="20" xfId="0" applyFont="1" applyBorder="1"/>
    <xf numFmtId="165" fontId="29" fillId="0" borderId="19" xfId="0" applyNumberFormat="1" applyFont="1" applyBorder="1" applyAlignment="1">
      <alignment horizontal="right" vertical="center"/>
    </xf>
    <xf numFmtId="165" fontId="28" fillId="0" borderId="19" xfId="0" applyNumberFormat="1" applyFont="1" applyBorder="1" applyAlignment="1">
      <alignment horizontal="right" vertical="center"/>
    </xf>
    <xf numFmtId="0" fontId="29" fillId="0" borderId="22" xfId="0" applyFont="1" applyBorder="1"/>
    <xf numFmtId="1" fontId="29" fillId="0" borderId="22" xfId="0" applyNumberFormat="1" applyFont="1" applyBorder="1" applyAlignment="1">
      <alignment horizontal="center" vertical="center"/>
    </xf>
    <xf numFmtId="165" fontId="29" fillId="0" borderId="18" xfId="0" applyNumberFormat="1" applyFont="1" applyBorder="1" applyAlignment="1">
      <alignment horizontal="right" vertical="center"/>
    </xf>
    <xf numFmtId="165" fontId="29" fillId="0" borderId="22" xfId="0" applyNumberFormat="1" applyFont="1" applyBorder="1" applyAlignment="1">
      <alignment horizontal="center" vertical="center"/>
    </xf>
    <xf numFmtId="1" fontId="29" fillId="0" borderId="19" xfId="0" applyNumberFormat="1" applyFont="1" applyBorder="1" applyAlignment="1">
      <alignment horizontal="center" vertical="center"/>
    </xf>
    <xf numFmtId="165" fontId="29" fillId="0" borderId="19" xfId="0" applyNumberFormat="1" applyFont="1" applyBorder="1" applyAlignment="1">
      <alignment horizontal="center" vertical="center"/>
    </xf>
    <xf numFmtId="165" fontId="29" fillId="0" borderId="30" xfId="0" applyNumberFormat="1" applyFont="1" applyBorder="1" applyAlignment="1">
      <alignment horizontal="right" vertical="center"/>
    </xf>
    <xf numFmtId="1" fontId="29" fillId="0" borderId="31" xfId="0" applyNumberFormat="1" applyFont="1" applyBorder="1" applyAlignment="1">
      <alignment horizontal="center" vertical="center"/>
    </xf>
    <xf numFmtId="165" fontId="29" fillId="0" borderId="31" xfId="0" applyNumberFormat="1" applyFont="1" applyBorder="1" applyAlignment="1">
      <alignment horizontal="right" vertical="center"/>
    </xf>
    <xf numFmtId="165" fontId="29" fillId="0" borderId="31" xfId="0" applyNumberFormat="1" applyFont="1" applyBorder="1" applyAlignment="1">
      <alignment horizontal="center" vertical="center"/>
    </xf>
    <xf numFmtId="165" fontId="28" fillId="0" borderId="31" xfId="0" applyNumberFormat="1" applyFont="1" applyBorder="1" applyAlignment="1">
      <alignment horizontal="right" vertical="center"/>
    </xf>
    <xf numFmtId="2" fontId="28" fillId="0" borderId="9" xfId="0" applyNumberFormat="1" applyFont="1" applyBorder="1" applyAlignment="1">
      <alignment horizontal="right" vertical="center"/>
    </xf>
    <xf numFmtId="1" fontId="28" fillId="0" borderId="13" xfId="0" applyNumberFormat="1" applyFont="1" applyBorder="1" applyAlignment="1">
      <alignment horizontal="center" vertical="center"/>
    </xf>
    <xf numFmtId="165" fontId="28" fillId="0" borderId="13" xfId="0" applyNumberFormat="1" applyFont="1" applyBorder="1" applyAlignment="1">
      <alignment horizontal="center" vertical="center"/>
    </xf>
    <xf numFmtId="1" fontId="28" fillId="0" borderId="14" xfId="0" applyNumberFormat="1" applyFont="1" applyBorder="1" applyAlignment="1">
      <alignment horizontal="center" vertical="center"/>
    </xf>
    <xf numFmtId="2" fontId="28" fillId="0" borderId="19" xfId="0" applyNumberFormat="1" applyFont="1" applyBorder="1" applyAlignment="1">
      <alignment horizontal="right" vertical="center"/>
    </xf>
    <xf numFmtId="0" fontId="28" fillId="0" borderId="20" xfId="0" applyFont="1" applyBorder="1"/>
    <xf numFmtId="0" fontId="28" fillId="0" borderId="21" xfId="0" applyFont="1" applyBorder="1"/>
    <xf numFmtId="0" fontId="28" fillId="0" borderId="22" xfId="0" applyFont="1" applyBorder="1"/>
    <xf numFmtId="1" fontId="28" fillId="0" borderId="19" xfId="0" applyNumberFormat="1" applyFont="1" applyBorder="1" applyAlignment="1">
      <alignment horizontal="center" vertical="center"/>
    </xf>
    <xf numFmtId="165" fontId="28" fillId="0" borderId="22" xfId="0" applyNumberFormat="1" applyFont="1" applyBorder="1" applyAlignment="1">
      <alignment horizontal="center" vertical="center"/>
    </xf>
    <xf numFmtId="165" fontId="28" fillId="0" borderId="19" xfId="0" applyNumberFormat="1" applyFont="1" applyBorder="1" applyAlignment="1">
      <alignment horizontal="center" vertical="center"/>
    </xf>
    <xf numFmtId="1" fontId="28" fillId="0" borderId="31" xfId="0" applyNumberFormat="1" applyFont="1" applyBorder="1" applyAlignment="1">
      <alignment horizontal="center" vertical="center"/>
    </xf>
    <xf numFmtId="165" fontId="28" fillId="0" borderId="31" xfId="0" applyNumberFormat="1" applyFont="1" applyBorder="1" applyAlignment="1">
      <alignment horizontal="center" vertical="center"/>
    </xf>
    <xf numFmtId="0" fontId="28" fillId="0" borderId="32" xfId="0" applyFont="1" applyBorder="1"/>
    <xf numFmtId="2" fontId="28" fillId="0" borderId="22" xfId="0" applyNumberFormat="1" applyFont="1" applyBorder="1" applyAlignment="1">
      <alignment horizontal="right" vertical="center"/>
    </xf>
    <xf numFmtId="2" fontId="28" fillId="0" borderId="31" xfId="0" applyNumberFormat="1" applyFont="1" applyBorder="1" applyAlignment="1">
      <alignment horizontal="right" vertical="center"/>
    </xf>
    <xf numFmtId="165" fontId="28" fillId="0" borderId="0" xfId="0" applyNumberFormat="1" applyFont="1" applyAlignment="1">
      <alignment horizontal="right" vertical="center"/>
    </xf>
    <xf numFmtId="165" fontId="28" fillId="0" borderId="0" xfId="0" applyNumberFormat="1" applyFont="1" applyAlignment="1">
      <alignment horizontal="left" vertical="center"/>
    </xf>
    <xf numFmtId="1" fontId="28" fillId="0" borderId="22" xfId="0" applyNumberFormat="1" applyFont="1" applyBorder="1" applyAlignment="1">
      <alignment horizontal="center" vertical="center"/>
    </xf>
    <xf numFmtId="165" fontId="30" fillId="0" borderId="9" xfId="0" applyNumberFormat="1" applyFont="1" applyBorder="1" applyAlignment="1">
      <alignment horizontal="right" vertical="center"/>
    </xf>
    <xf numFmtId="1" fontId="30" fillId="0" borderId="14" xfId="0" applyNumberFormat="1" applyFont="1" applyBorder="1" applyAlignment="1">
      <alignment horizontal="center" vertical="center"/>
    </xf>
    <xf numFmtId="165" fontId="30" fillId="0" borderId="22" xfId="0" applyNumberFormat="1" applyFont="1" applyBorder="1" applyAlignment="1">
      <alignment horizontal="right" vertical="center"/>
    </xf>
    <xf numFmtId="0" fontId="31" fillId="0" borderId="21" xfId="0" applyFont="1" applyBorder="1"/>
    <xf numFmtId="165" fontId="30" fillId="0" borderId="19" xfId="0" applyNumberFormat="1" applyFont="1" applyBorder="1" applyAlignment="1">
      <alignment horizontal="right" vertical="center"/>
    </xf>
    <xf numFmtId="165" fontId="30" fillId="0" borderId="31" xfId="0" applyNumberFormat="1" applyFont="1" applyBorder="1" applyAlignment="1">
      <alignment horizontal="right" vertical="center"/>
    </xf>
    <xf numFmtId="0" fontId="31" fillId="0" borderId="32" xfId="0" applyFont="1" applyBorder="1"/>
  </cellXfs>
  <cellStyles count="1">
    <cellStyle name="Normal" xfId="0" builtinId="0"/>
  </cellStyles>
  <dxfs count="134">
    <dxf>
      <font>
        <b/>
        <i val="0"/>
        <color theme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theme="0" tint="-0.24994659260841701"/>
        </patternFill>
      </fill>
    </dxf>
    <dxf>
      <font>
        <b/>
        <i val="0"/>
        <color theme="1"/>
      </font>
    </dxf>
    <dxf>
      <font>
        <b/>
        <i val="0"/>
        <color theme="1"/>
      </font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solid">
          <fgColor rgb="FFFFFFFF"/>
          <bgColor rgb="FFFFFFFF"/>
        </patternFill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solid">
          <fgColor rgb="FFFFFFFF"/>
          <bgColor rgb="FFFFFFFF"/>
        </patternFill>
      </fill>
    </dxf>
    <dxf>
      <font>
        <b/>
        <color rgb="FF000000"/>
      </font>
      <fill>
        <patternFill patternType="none"/>
      </fill>
    </dxf>
    <dxf>
      <font>
        <b/>
        <color rgb="FFFFFFFF"/>
      </font>
      <fill>
        <patternFill patternType="solid">
          <fgColor rgb="FFB7B7B7"/>
          <bgColor rgb="FFB7B7B7"/>
        </patternFill>
      </fill>
    </dxf>
    <dxf>
      <font>
        <b/>
        <color rgb="FFFFFFFF"/>
      </font>
      <fill>
        <patternFill patternType="solid">
          <fgColor rgb="FFB7B7B7"/>
          <bgColor rgb="FFB7B7B7"/>
        </patternFill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none"/>
      </fill>
    </dxf>
    <dxf>
      <font>
        <b/>
        <color rgb="FFFFFFFF"/>
      </font>
      <fill>
        <patternFill patternType="solid">
          <fgColor rgb="FFB7B7B7"/>
          <bgColor rgb="FFB7B7B7"/>
        </patternFill>
      </fill>
    </dxf>
    <dxf>
      <font>
        <b/>
        <color rgb="FFFFFFFF"/>
      </font>
      <fill>
        <patternFill patternType="solid">
          <fgColor rgb="FFB7B7B7"/>
          <bgColor rgb="FFB7B7B7"/>
        </patternFill>
      </fill>
    </dxf>
    <dxf>
      <font>
        <b/>
        <i val="0"/>
        <color theme="0"/>
      </font>
      <fill>
        <patternFill>
          <bgColor theme="0" tint="-0.24994659260841701"/>
        </patternFill>
      </fill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0"/>
      </font>
      <fill>
        <patternFill>
          <bgColor theme="0" tint="-0.24994659260841701"/>
        </patternFill>
      </fill>
    </dxf>
    <dxf>
      <font>
        <b/>
        <i val="0"/>
        <color theme="1"/>
      </font>
    </dxf>
    <dxf>
      <font>
        <b/>
        <i val="0"/>
        <color theme="1"/>
      </font>
    </dxf>
    <dxf>
      <font>
        <b/>
        <color rgb="FFFFFFFF"/>
      </font>
      <fill>
        <patternFill patternType="solid">
          <fgColor rgb="FFB7B7B7"/>
          <bgColor rgb="FFB7B7B7"/>
        </patternFill>
      </fill>
    </dxf>
    <dxf>
      <font>
        <b/>
        <color rgb="FFFFFFFF"/>
      </font>
      <fill>
        <patternFill patternType="solid">
          <fgColor rgb="FFB7B7B7"/>
          <bgColor rgb="FFB7B7B7"/>
        </patternFill>
      </fill>
    </dxf>
    <dxf>
      <font>
        <b/>
        <color rgb="FFFFFFFF"/>
      </font>
      <fill>
        <patternFill patternType="solid">
          <fgColor rgb="FFB7B7B7"/>
          <bgColor rgb="FFB7B7B7"/>
        </patternFill>
      </fill>
    </dxf>
    <dxf>
      <font>
        <b/>
        <color rgb="FFFFFFFF"/>
      </font>
      <fill>
        <patternFill patternType="solid">
          <fgColor rgb="FFB7B7B7"/>
          <bgColor rgb="FFB7B7B7"/>
        </patternFill>
      </fill>
    </dxf>
    <dxf>
      <font>
        <b/>
        <color rgb="FFFFFFFF"/>
      </font>
      <fill>
        <patternFill patternType="solid">
          <fgColor rgb="FFB7B7B7"/>
          <bgColor rgb="FFB7B7B7"/>
        </patternFill>
      </fill>
    </dxf>
    <dxf>
      <font>
        <b/>
        <color rgb="FFFFFFFF"/>
      </font>
      <fill>
        <patternFill patternType="solid">
          <fgColor rgb="FFB7B7B7"/>
          <bgColor rgb="FFB7B7B7"/>
        </patternFill>
      </fill>
    </dxf>
    <dxf>
      <font>
        <b/>
        <color rgb="FF000000"/>
      </font>
      <fill>
        <patternFill patternType="none"/>
      </fill>
    </dxf>
    <dxf>
      <font>
        <b/>
        <color rgb="FFFFFFFF"/>
      </font>
      <fill>
        <patternFill patternType="solid">
          <fgColor rgb="FFB7B7B7"/>
          <bgColor rgb="FFB7B7B7"/>
        </patternFill>
      </fill>
    </dxf>
    <dxf>
      <font>
        <b/>
        <color rgb="FFFFFFFF"/>
      </font>
      <fill>
        <patternFill patternType="solid">
          <fgColor rgb="FFB7B7B7"/>
          <bgColor rgb="FFB7B7B7"/>
        </patternFill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none"/>
      </fill>
    </dxf>
    <dxf>
      <font>
        <b/>
        <color rgb="FFFFFFFF"/>
      </font>
      <fill>
        <patternFill patternType="solid">
          <fgColor rgb="FFB7B7B7"/>
          <bgColor rgb="FFB7B7B7"/>
        </patternFill>
      </fill>
    </dxf>
    <dxf>
      <font>
        <b/>
        <color rgb="FFFFFFFF"/>
      </font>
      <fill>
        <patternFill patternType="solid">
          <fgColor rgb="FFB7B7B7"/>
          <bgColor rgb="FFB7B7B7"/>
        </patternFill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solid">
          <fgColor rgb="FFFFFFFF"/>
          <bgColor rgb="FFFFFFFF"/>
        </patternFill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solid">
          <fgColor rgb="FFFFFFFF"/>
          <bgColor rgb="FFFFFFFF"/>
        </patternFill>
      </fill>
    </dxf>
    <dxf>
      <font>
        <b/>
        <color rgb="FF000000"/>
      </font>
      <fill>
        <patternFill patternType="solid">
          <fgColor rgb="FFFFFFFF"/>
          <bgColor rgb="FFFFFFFF"/>
        </patternFill>
      </fill>
    </dxf>
    <dxf>
      <font>
        <b/>
        <color rgb="FF000000"/>
      </font>
      <fill>
        <patternFill patternType="none"/>
      </fill>
    </dxf>
    <dxf>
      <font>
        <b/>
        <color rgb="FFFFFFFF"/>
      </font>
      <fill>
        <patternFill patternType="solid">
          <fgColor rgb="FFB7B7B7"/>
          <bgColor rgb="FFB7B7B7"/>
        </patternFill>
      </fill>
    </dxf>
    <dxf>
      <font>
        <b/>
        <color rgb="FFFFFFFF"/>
      </font>
      <fill>
        <patternFill patternType="solid">
          <fgColor rgb="FFB7B7B7"/>
          <bgColor rgb="FFB7B7B7"/>
        </patternFill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none"/>
      </fill>
    </dxf>
    <dxf>
      <font>
        <b/>
        <color rgb="FFFFFFFF"/>
      </font>
      <fill>
        <patternFill patternType="solid">
          <fgColor rgb="FFB7B7B7"/>
          <bgColor rgb="FFB7B7B7"/>
        </patternFill>
      </fill>
    </dxf>
    <dxf>
      <font>
        <b/>
        <color rgb="FFFFFFFF"/>
      </font>
      <fill>
        <patternFill patternType="solid">
          <fgColor rgb="FFB7B7B7"/>
          <bgColor rgb="FFB7B7B7"/>
        </patternFill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solid">
          <fgColor rgb="FFFFFFFF"/>
          <bgColor rgb="FFFFFFFF"/>
        </patternFill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solid">
          <fgColor rgb="FFFFFFFF"/>
          <bgColor rgb="FFFFFFFF"/>
        </patternFill>
      </fill>
    </dxf>
    <dxf>
      <font>
        <b/>
        <color rgb="FF000000"/>
      </font>
      <fill>
        <patternFill patternType="solid">
          <fgColor rgb="FFFFFFFF"/>
          <bgColor rgb="FFFFFFFF"/>
        </patternFill>
      </fill>
    </dxf>
    <dxf>
      <font>
        <b/>
        <color rgb="FF000000"/>
      </font>
      <fill>
        <patternFill patternType="none"/>
      </fill>
    </dxf>
    <dxf>
      <font>
        <b/>
        <color rgb="FFFFFFFF"/>
      </font>
      <fill>
        <patternFill patternType="solid">
          <fgColor rgb="FFB7B7B7"/>
          <bgColor rgb="FFB7B7B7"/>
        </patternFill>
      </fill>
    </dxf>
    <dxf>
      <font>
        <b/>
        <color rgb="FFFFFFFF"/>
      </font>
      <fill>
        <patternFill patternType="solid">
          <fgColor rgb="FFB7B7B7"/>
          <bgColor rgb="FFB7B7B7"/>
        </patternFill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none"/>
      </fill>
    </dxf>
    <dxf>
      <font>
        <b/>
        <color rgb="FFFFFFFF"/>
      </font>
      <fill>
        <patternFill patternType="solid">
          <fgColor rgb="FFB7B7B7"/>
          <bgColor rgb="FFB7B7B7"/>
        </patternFill>
      </fill>
    </dxf>
    <dxf>
      <font>
        <b/>
        <color rgb="FFFFFFFF"/>
      </font>
      <fill>
        <patternFill patternType="solid">
          <fgColor rgb="FFB7B7B7"/>
          <bgColor rgb="FFB7B7B7"/>
        </patternFill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none"/>
      </fill>
    </dxf>
    <dxf>
      <font>
        <b/>
        <i val="0"/>
        <color theme="1"/>
      </font>
    </dxf>
    <dxf>
      <font>
        <b val="0"/>
        <i val="0"/>
        <color theme="0" tint="-0.34998626667073579"/>
      </font>
    </dxf>
    <dxf>
      <font>
        <b/>
        <i val="0"/>
        <color theme="1"/>
      </font>
    </dxf>
    <dxf>
      <font>
        <b val="0"/>
        <i val="0"/>
        <color theme="0" tint="-0.34998626667073579"/>
      </font>
    </dxf>
    <dxf>
      <font>
        <b/>
        <i val="0"/>
        <color theme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theme="0" tint="-0.24994659260841701"/>
        </patternFill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none"/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</dxfs>
  <tableStyles count="2">
    <tableStyle name="Shopping List-style" pivot="0" count="2" xr9:uid="{00000000-0011-0000-FFFF-FFFF00000000}">
      <tableStyleElement type="firstRowStripe" dxfId="133"/>
      <tableStyleElement type="secondRowStripe" dxfId="132"/>
    </tableStyle>
    <tableStyle name="Shopping List-style 2" pivot="0" count="2" xr9:uid="{00000000-0011-0000-FFFF-FFFF01000000}">
      <tableStyleElement type="firstRowStripe" dxfId="131"/>
      <tableStyleElement type="secondRowStripe" dxfId="13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A61C00"/>
              </a:solidFill>
            </c:spPr>
            <c:extLst>
              <c:ext xmlns:c16="http://schemas.microsoft.com/office/drawing/2014/chart" uri="{C3380CC4-5D6E-409C-BE32-E72D297353CC}">
                <c16:uniqueId val="{00000001-847A-4075-A487-1F1D412C03FD}"/>
              </c:ext>
            </c:extLst>
          </c:dPt>
          <c:dPt>
            <c:idx val="1"/>
            <c:bubble3D val="0"/>
            <c:spPr>
              <a:solidFill>
                <a:srgbClr val="E69138"/>
              </a:solidFill>
            </c:spPr>
            <c:extLst>
              <c:ext xmlns:c16="http://schemas.microsoft.com/office/drawing/2014/chart" uri="{C3380CC4-5D6E-409C-BE32-E72D297353CC}">
                <c16:uniqueId val="{00000003-847A-4075-A487-1F1D412C03FD}"/>
              </c:ext>
            </c:extLst>
          </c:dPt>
          <c:dPt>
            <c:idx val="2"/>
            <c:bubble3D val="0"/>
            <c:spPr>
              <a:solidFill>
                <a:srgbClr val="F1C232"/>
              </a:solidFill>
            </c:spPr>
            <c:extLst>
              <c:ext xmlns:c16="http://schemas.microsoft.com/office/drawing/2014/chart" uri="{C3380CC4-5D6E-409C-BE32-E72D297353CC}">
                <c16:uniqueId val="{00000005-847A-4075-A487-1F1D412C03FD}"/>
              </c:ext>
            </c:extLst>
          </c:dPt>
          <c:dPt>
            <c:idx val="3"/>
            <c:bubble3D val="0"/>
            <c:spPr>
              <a:solidFill>
                <a:srgbClr val="38761D"/>
              </a:solidFill>
            </c:spPr>
            <c:extLst>
              <c:ext xmlns:c16="http://schemas.microsoft.com/office/drawing/2014/chart" uri="{C3380CC4-5D6E-409C-BE32-E72D297353CC}">
                <c16:uniqueId val="{00000007-847A-4075-A487-1F1D412C03FD}"/>
              </c:ext>
            </c:extLst>
          </c:dPt>
          <c:dPt>
            <c:idx val="4"/>
            <c:bubble3D val="0"/>
            <c:spPr>
              <a:solidFill>
                <a:srgbClr val="45818E"/>
              </a:solidFill>
            </c:spPr>
            <c:extLst>
              <c:ext xmlns:c16="http://schemas.microsoft.com/office/drawing/2014/chart" uri="{C3380CC4-5D6E-409C-BE32-E72D297353CC}">
                <c16:uniqueId val="{00000009-847A-4075-A487-1F1D412C03FD}"/>
              </c:ext>
            </c:extLst>
          </c:dPt>
          <c:dPt>
            <c:idx val="5"/>
            <c:bubble3D val="0"/>
            <c:spPr>
              <a:solidFill>
                <a:srgbClr val="674EA7"/>
              </a:solidFill>
            </c:spPr>
            <c:extLst>
              <c:ext xmlns:c16="http://schemas.microsoft.com/office/drawing/2014/chart" uri="{C3380CC4-5D6E-409C-BE32-E72D297353CC}">
                <c16:uniqueId val="{0000000B-847A-4075-A487-1F1D412C03FD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'Menu 1 - Duck'!$J$31:$J$35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47A-4075-A487-1F1D412C03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1"/>
  </c:chart>
  <c:spPr>
    <a:solidFill>
      <a:srgbClr val="FFFFFF">
        <a:alpha val="0"/>
      </a:srgbClr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A61C00"/>
              </a:solidFill>
            </c:spPr>
            <c:extLst>
              <c:ext xmlns:c16="http://schemas.microsoft.com/office/drawing/2014/chart" uri="{C3380CC4-5D6E-409C-BE32-E72D297353CC}">
                <c16:uniqueId val="{00000001-0CF7-4197-8177-7BBAC0FE7957}"/>
              </c:ext>
            </c:extLst>
          </c:dPt>
          <c:dPt>
            <c:idx val="1"/>
            <c:bubble3D val="0"/>
            <c:spPr>
              <a:solidFill>
                <a:srgbClr val="E69138"/>
              </a:solidFill>
            </c:spPr>
            <c:extLst>
              <c:ext xmlns:c16="http://schemas.microsoft.com/office/drawing/2014/chart" uri="{C3380CC4-5D6E-409C-BE32-E72D297353CC}">
                <c16:uniqueId val="{00000003-0CF7-4197-8177-7BBAC0FE7957}"/>
              </c:ext>
            </c:extLst>
          </c:dPt>
          <c:dPt>
            <c:idx val="2"/>
            <c:bubble3D val="0"/>
            <c:spPr>
              <a:solidFill>
                <a:srgbClr val="F1C232"/>
              </a:solidFill>
            </c:spPr>
            <c:extLst>
              <c:ext xmlns:c16="http://schemas.microsoft.com/office/drawing/2014/chart" uri="{C3380CC4-5D6E-409C-BE32-E72D297353CC}">
                <c16:uniqueId val="{00000005-0CF7-4197-8177-7BBAC0FE7957}"/>
              </c:ext>
            </c:extLst>
          </c:dPt>
          <c:dPt>
            <c:idx val="3"/>
            <c:bubble3D val="0"/>
            <c:spPr>
              <a:solidFill>
                <a:srgbClr val="38761D"/>
              </a:solidFill>
            </c:spPr>
            <c:extLst>
              <c:ext xmlns:c16="http://schemas.microsoft.com/office/drawing/2014/chart" uri="{C3380CC4-5D6E-409C-BE32-E72D297353CC}">
                <c16:uniqueId val="{00000007-0CF7-4197-8177-7BBAC0FE7957}"/>
              </c:ext>
            </c:extLst>
          </c:dPt>
          <c:dPt>
            <c:idx val="4"/>
            <c:bubble3D val="0"/>
            <c:spPr>
              <a:solidFill>
                <a:srgbClr val="45818E"/>
              </a:solidFill>
            </c:spPr>
            <c:extLst>
              <c:ext xmlns:c16="http://schemas.microsoft.com/office/drawing/2014/chart" uri="{C3380CC4-5D6E-409C-BE32-E72D297353CC}">
                <c16:uniqueId val="{00000009-0CF7-4197-8177-7BBAC0FE7957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'Menu 1 - Duck'!$D$31:$D$35</c:f>
              <c:numCache>
                <c:formatCode>0%</c:formatCode>
                <c:ptCount val="5"/>
                <c:pt idx="0">
                  <c:v>0.15</c:v>
                </c:pt>
                <c:pt idx="1">
                  <c:v>0.11</c:v>
                </c:pt>
                <c:pt idx="2">
                  <c:v>0</c:v>
                </c:pt>
                <c:pt idx="3">
                  <c:v>7.0000000000000007E-2</c:v>
                </c:pt>
                <c:pt idx="4">
                  <c:v>0.66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CF7-4197-8177-7BBAC0FE7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1"/>
  </c:chart>
  <c:spPr>
    <a:solidFill>
      <a:srgbClr val="FFFFFF">
        <a:alpha val="0"/>
      </a:srgbClr>
    </a:solid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A61C00"/>
              </a:solidFill>
            </c:spPr>
            <c:extLst>
              <c:ext xmlns:c16="http://schemas.microsoft.com/office/drawing/2014/chart" uri="{C3380CC4-5D6E-409C-BE32-E72D297353CC}">
                <c16:uniqueId val="{00000001-8F9F-4711-A4E0-8360C58A4227}"/>
              </c:ext>
            </c:extLst>
          </c:dPt>
          <c:dPt>
            <c:idx val="1"/>
            <c:bubble3D val="0"/>
            <c:spPr>
              <a:solidFill>
                <a:srgbClr val="E69138"/>
              </a:solidFill>
            </c:spPr>
            <c:extLst>
              <c:ext xmlns:c16="http://schemas.microsoft.com/office/drawing/2014/chart" uri="{C3380CC4-5D6E-409C-BE32-E72D297353CC}">
                <c16:uniqueId val="{00000003-8F9F-4711-A4E0-8360C58A4227}"/>
              </c:ext>
            </c:extLst>
          </c:dPt>
          <c:dPt>
            <c:idx val="2"/>
            <c:bubble3D val="0"/>
            <c:spPr>
              <a:solidFill>
                <a:srgbClr val="F1C232"/>
              </a:solidFill>
            </c:spPr>
            <c:extLst>
              <c:ext xmlns:c16="http://schemas.microsoft.com/office/drawing/2014/chart" uri="{C3380CC4-5D6E-409C-BE32-E72D297353CC}">
                <c16:uniqueId val="{00000005-8F9F-4711-A4E0-8360C58A4227}"/>
              </c:ext>
            </c:extLst>
          </c:dPt>
          <c:dPt>
            <c:idx val="3"/>
            <c:bubble3D val="0"/>
            <c:spPr>
              <a:solidFill>
                <a:srgbClr val="38761D"/>
              </a:solidFill>
            </c:spPr>
            <c:extLst>
              <c:ext xmlns:c16="http://schemas.microsoft.com/office/drawing/2014/chart" uri="{C3380CC4-5D6E-409C-BE32-E72D297353CC}">
                <c16:uniqueId val="{00000007-8F9F-4711-A4E0-8360C58A4227}"/>
              </c:ext>
            </c:extLst>
          </c:dPt>
          <c:dPt>
            <c:idx val="4"/>
            <c:bubble3D val="0"/>
            <c:spPr>
              <a:solidFill>
                <a:srgbClr val="45818E"/>
              </a:solidFill>
            </c:spPr>
            <c:extLst>
              <c:ext xmlns:c16="http://schemas.microsoft.com/office/drawing/2014/chart" uri="{C3380CC4-5D6E-409C-BE32-E72D297353CC}">
                <c16:uniqueId val="{00000009-8F9F-4711-A4E0-8360C58A4227}"/>
              </c:ext>
            </c:extLst>
          </c:dPt>
          <c:dPt>
            <c:idx val="5"/>
            <c:bubble3D val="0"/>
            <c:spPr>
              <a:solidFill>
                <a:srgbClr val="674EA7"/>
              </a:solidFill>
            </c:spPr>
            <c:extLst>
              <c:ext xmlns:c16="http://schemas.microsoft.com/office/drawing/2014/chart" uri="{C3380CC4-5D6E-409C-BE32-E72D297353CC}">
                <c16:uniqueId val="{0000000B-8F9F-4711-A4E0-8360C58A4227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'Menu 2 - Beef'!$J$31:$J$35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F9F-4711-A4E0-8360C58A42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1"/>
  </c:chart>
  <c:spPr>
    <a:solidFill>
      <a:srgbClr val="FFFFFF">
        <a:alpha val="0"/>
      </a:srgbClr>
    </a:solidFill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A61C00"/>
              </a:solidFill>
            </c:spPr>
            <c:extLst>
              <c:ext xmlns:c16="http://schemas.microsoft.com/office/drawing/2014/chart" uri="{C3380CC4-5D6E-409C-BE32-E72D297353CC}">
                <c16:uniqueId val="{00000001-9501-44AC-8322-863A2138D5B6}"/>
              </c:ext>
            </c:extLst>
          </c:dPt>
          <c:dPt>
            <c:idx val="1"/>
            <c:bubble3D val="0"/>
            <c:spPr>
              <a:solidFill>
                <a:srgbClr val="E69138"/>
              </a:solidFill>
            </c:spPr>
            <c:extLst>
              <c:ext xmlns:c16="http://schemas.microsoft.com/office/drawing/2014/chart" uri="{C3380CC4-5D6E-409C-BE32-E72D297353CC}">
                <c16:uniqueId val="{00000003-9501-44AC-8322-863A2138D5B6}"/>
              </c:ext>
            </c:extLst>
          </c:dPt>
          <c:dPt>
            <c:idx val="2"/>
            <c:bubble3D val="0"/>
            <c:spPr>
              <a:solidFill>
                <a:srgbClr val="F1C232"/>
              </a:solidFill>
            </c:spPr>
            <c:extLst>
              <c:ext xmlns:c16="http://schemas.microsoft.com/office/drawing/2014/chart" uri="{C3380CC4-5D6E-409C-BE32-E72D297353CC}">
                <c16:uniqueId val="{00000005-9501-44AC-8322-863A2138D5B6}"/>
              </c:ext>
            </c:extLst>
          </c:dPt>
          <c:dPt>
            <c:idx val="3"/>
            <c:bubble3D val="0"/>
            <c:spPr>
              <a:solidFill>
                <a:srgbClr val="38761D"/>
              </a:solidFill>
            </c:spPr>
            <c:extLst>
              <c:ext xmlns:c16="http://schemas.microsoft.com/office/drawing/2014/chart" uri="{C3380CC4-5D6E-409C-BE32-E72D297353CC}">
                <c16:uniqueId val="{00000007-9501-44AC-8322-863A2138D5B6}"/>
              </c:ext>
            </c:extLst>
          </c:dPt>
          <c:dPt>
            <c:idx val="4"/>
            <c:bubble3D val="0"/>
            <c:spPr>
              <a:solidFill>
                <a:srgbClr val="45818E"/>
              </a:solidFill>
            </c:spPr>
            <c:extLst>
              <c:ext xmlns:c16="http://schemas.microsoft.com/office/drawing/2014/chart" uri="{C3380CC4-5D6E-409C-BE32-E72D297353CC}">
                <c16:uniqueId val="{00000009-9501-44AC-8322-863A2138D5B6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'Menu 2 - Beef'!$D$31:$D$35</c:f>
              <c:numCache>
                <c:formatCode>0%</c:formatCode>
                <c:ptCount val="5"/>
                <c:pt idx="0">
                  <c:v>0.17</c:v>
                </c:pt>
                <c:pt idx="1">
                  <c:v>0.12</c:v>
                </c:pt>
                <c:pt idx="2">
                  <c:v>0</c:v>
                </c:pt>
                <c:pt idx="3">
                  <c:v>0.02</c:v>
                </c:pt>
                <c:pt idx="4">
                  <c:v>0.68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501-44AC-8322-863A2138D5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1"/>
  </c:chart>
  <c:spPr>
    <a:solidFill>
      <a:srgbClr val="FFFFFF">
        <a:alpha val="0"/>
      </a:srgbClr>
    </a:solidFill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A61C00"/>
              </a:solidFill>
            </c:spPr>
            <c:extLst>
              <c:ext xmlns:c16="http://schemas.microsoft.com/office/drawing/2014/chart" uri="{C3380CC4-5D6E-409C-BE32-E72D297353CC}">
                <c16:uniqueId val="{00000001-8E6D-41A9-A744-AD99FDD2E625}"/>
              </c:ext>
            </c:extLst>
          </c:dPt>
          <c:dPt>
            <c:idx val="1"/>
            <c:bubble3D val="0"/>
            <c:spPr>
              <a:solidFill>
                <a:srgbClr val="E69138"/>
              </a:solidFill>
            </c:spPr>
            <c:extLst>
              <c:ext xmlns:c16="http://schemas.microsoft.com/office/drawing/2014/chart" uri="{C3380CC4-5D6E-409C-BE32-E72D297353CC}">
                <c16:uniqueId val="{00000003-8E6D-41A9-A744-AD99FDD2E625}"/>
              </c:ext>
            </c:extLst>
          </c:dPt>
          <c:dPt>
            <c:idx val="2"/>
            <c:bubble3D val="0"/>
            <c:spPr>
              <a:solidFill>
                <a:srgbClr val="F1C232"/>
              </a:solidFill>
            </c:spPr>
            <c:extLst>
              <c:ext xmlns:c16="http://schemas.microsoft.com/office/drawing/2014/chart" uri="{C3380CC4-5D6E-409C-BE32-E72D297353CC}">
                <c16:uniqueId val="{00000005-8E6D-41A9-A744-AD99FDD2E625}"/>
              </c:ext>
            </c:extLst>
          </c:dPt>
          <c:dPt>
            <c:idx val="3"/>
            <c:bubble3D val="0"/>
            <c:spPr>
              <a:solidFill>
                <a:srgbClr val="38761D"/>
              </a:solidFill>
            </c:spPr>
            <c:extLst>
              <c:ext xmlns:c16="http://schemas.microsoft.com/office/drawing/2014/chart" uri="{C3380CC4-5D6E-409C-BE32-E72D297353CC}">
                <c16:uniqueId val="{00000007-8E6D-41A9-A744-AD99FDD2E625}"/>
              </c:ext>
            </c:extLst>
          </c:dPt>
          <c:dPt>
            <c:idx val="4"/>
            <c:bubble3D val="0"/>
            <c:spPr>
              <a:solidFill>
                <a:srgbClr val="45818E"/>
              </a:solidFill>
            </c:spPr>
            <c:extLst>
              <c:ext xmlns:c16="http://schemas.microsoft.com/office/drawing/2014/chart" uri="{C3380CC4-5D6E-409C-BE32-E72D297353CC}">
                <c16:uniqueId val="{00000009-8E6D-41A9-A744-AD99FDD2E625}"/>
              </c:ext>
            </c:extLst>
          </c:dPt>
          <c:dPt>
            <c:idx val="5"/>
            <c:bubble3D val="0"/>
            <c:spPr>
              <a:solidFill>
                <a:srgbClr val="674EA7"/>
              </a:solidFill>
            </c:spPr>
            <c:extLst>
              <c:ext xmlns:c16="http://schemas.microsoft.com/office/drawing/2014/chart" uri="{C3380CC4-5D6E-409C-BE32-E72D297353CC}">
                <c16:uniqueId val="{0000000B-8E6D-41A9-A744-AD99FDD2E625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'Menu 3 - Lamb'!$J$32:$J$36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E6D-41A9-A744-AD99FDD2E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1"/>
  </c:chart>
  <c:spPr>
    <a:solidFill>
      <a:srgbClr val="FFFFFF">
        <a:alpha val="0"/>
      </a:srgbClr>
    </a:solidFill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A61C00"/>
              </a:solidFill>
            </c:spPr>
            <c:extLst>
              <c:ext xmlns:c16="http://schemas.microsoft.com/office/drawing/2014/chart" uri="{C3380CC4-5D6E-409C-BE32-E72D297353CC}">
                <c16:uniqueId val="{00000001-86D6-492E-939D-A2EA666526A6}"/>
              </c:ext>
            </c:extLst>
          </c:dPt>
          <c:dPt>
            <c:idx val="1"/>
            <c:bubble3D val="0"/>
            <c:spPr>
              <a:solidFill>
                <a:srgbClr val="E69138"/>
              </a:solidFill>
            </c:spPr>
            <c:extLst>
              <c:ext xmlns:c16="http://schemas.microsoft.com/office/drawing/2014/chart" uri="{C3380CC4-5D6E-409C-BE32-E72D297353CC}">
                <c16:uniqueId val="{00000003-86D6-492E-939D-A2EA666526A6}"/>
              </c:ext>
            </c:extLst>
          </c:dPt>
          <c:dPt>
            <c:idx val="2"/>
            <c:bubble3D val="0"/>
            <c:spPr>
              <a:solidFill>
                <a:srgbClr val="F1C232"/>
              </a:solidFill>
            </c:spPr>
            <c:extLst>
              <c:ext xmlns:c16="http://schemas.microsoft.com/office/drawing/2014/chart" uri="{C3380CC4-5D6E-409C-BE32-E72D297353CC}">
                <c16:uniqueId val="{00000005-86D6-492E-939D-A2EA666526A6}"/>
              </c:ext>
            </c:extLst>
          </c:dPt>
          <c:dPt>
            <c:idx val="3"/>
            <c:bubble3D val="0"/>
            <c:spPr>
              <a:solidFill>
                <a:srgbClr val="38761D"/>
              </a:solidFill>
            </c:spPr>
            <c:extLst>
              <c:ext xmlns:c16="http://schemas.microsoft.com/office/drawing/2014/chart" uri="{C3380CC4-5D6E-409C-BE32-E72D297353CC}">
                <c16:uniqueId val="{00000007-86D6-492E-939D-A2EA666526A6}"/>
              </c:ext>
            </c:extLst>
          </c:dPt>
          <c:dPt>
            <c:idx val="4"/>
            <c:bubble3D val="0"/>
            <c:spPr>
              <a:solidFill>
                <a:srgbClr val="45818E"/>
              </a:solidFill>
            </c:spPr>
            <c:extLst>
              <c:ext xmlns:c16="http://schemas.microsoft.com/office/drawing/2014/chart" uri="{C3380CC4-5D6E-409C-BE32-E72D297353CC}">
                <c16:uniqueId val="{00000009-86D6-492E-939D-A2EA666526A6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'Menu 3 - Lamb'!$D$32:$D$36</c:f>
              <c:numCache>
                <c:formatCode>0%</c:formatCode>
                <c:ptCount val="5"/>
                <c:pt idx="0">
                  <c:v>0.19</c:v>
                </c:pt>
                <c:pt idx="1">
                  <c:v>0.09</c:v>
                </c:pt>
                <c:pt idx="2">
                  <c:v>0</c:v>
                </c:pt>
                <c:pt idx="3">
                  <c:v>0.03</c:v>
                </c:pt>
                <c:pt idx="4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6D6-492E-939D-A2EA66652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1"/>
  </c:chart>
  <c:spPr>
    <a:solidFill>
      <a:srgbClr val="FFFFFF">
        <a:alpha val="0"/>
      </a:srgbClr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28575</xdr:colOff>
      <xdr:row>20</xdr:row>
      <xdr:rowOff>57150</xdr:rowOff>
    </xdr:from>
    <xdr:ext cx="3048000" cy="1628775"/>
    <xdr:graphicFrame macro="">
      <xdr:nvGraphicFramePr>
        <xdr:cNvPr id="118151910" name="Chart 1" title="Chart">
          <a:extLst>
            <a:ext uri="{FF2B5EF4-FFF2-40B4-BE49-F238E27FC236}">
              <a16:creationId xmlns:a16="http://schemas.microsoft.com/office/drawing/2014/main" id="{00000000-0008-0000-0000-0000E6DA0A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0</xdr:col>
      <xdr:colOff>0</xdr:colOff>
      <xdr:row>20</xdr:row>
      <xdr:rowOff>57150</xdr:rowOff>
    </xdr:from>
    <xdr:ext cx="3048000" cy="1628775"/>
    <xdr:graphicFrame macro="">
      <xdr:nvGraphicFramePr>
        <xdr:cNvPr id="2116673755" name="Chart 2" title="Chart">
          <a:extLst>
            <a:ext uri="{FF2B5EF4-FFF2-40B4-BE49-F238E27FC236}">
              <a16:creationId xmlns:a16="http://schemas.microsoft.com/office/drawing/2014/main" id="{00000000-0008-0000-0000-0000DBE029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0</xdr:col>
      <xdr:colOff>342900</xdr:colOff>
      <xdr:row>0</xdr:row>
      <xdr:rowOff>0</xdr:rowOff>
    </xdr:from>
    <xdr:ext cx="1143000" cy="12096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28575</xdr:colOff>
      <xdr:row>20</xdr:row>
      <xdr:rowOff>57150</xdr:rowOff>
    </xdr:from>
    <xdr:ext cx="3048000" cy="1628775"/>
    <xdr:graphicFrame macro="">
      <xdr:nvGraphicFramePr>
        <xdr:cNvPr id="1855032069" name="Chart 3" title="Chart">
          <a:extLst>
            <a:ext uri="{FF2B5EF4-FFF2-40B4-BE49-F238E27FC236}">
              <a16:creationId xmlns:a16="http://schemas.microsoft.com/office/drawing/2014/main" id="{00000000-0008-0000-0100-0000058B91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0</xdr:col>
      <xdr:colOff>0</xdr:colOff>
      <xdr:row>20</xdr:row>
      <xdr:rowOff>57150</xdr:rowOff>
    </xdr:from>
    <xdr:ext cx="3048000" cy="1628775"/>
    <xdr:graphicFrame macro="">
      <xdr:nvGraphicFramePr>
        <xdr:cNvPr id="894667075" name="Chart 4" title="Chart">
          <a:extLst>
            <a:ext uri="{FF2B5EF4-FFF2-40B4-BE49-F238E27FC236}">
              <a16:creationId xmlns:a16="http://schemas.microsoft.com/office/drawing/2014/main" id="{00000000-0008-0000-0100-0000438953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0</xdr:col>
      <xdr:colOff>342900</xdr:colOff>
      <xdr:row>0</xdr:row>
      <xdr:rowOff>0</xdr:rowOff>
    </xdr:from>
    <xdr:ext cx="1143000" cy="12096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28575</xdr:colOff>
      <xdr:row>21</xdr:row>
      <xdr:rowOff>57150</xdr:rowOff>
    </xdr:from>
    <xdr:ext cx="3048000" cy="1628775"/>
    <xdr:graphicFrame macro="">
      <xdr:nvGraphicFramePr>
        <xdr:cNvPr id="768623896" name="Chart 5" title="Chart">
          <a:extLst>
            <a:ext uri="{FF2B5EF4-FFF2-40B4-BE49-F238E27FC236}">
              <a16:creationId xmlns:a16="http://schemas.microsoft.com/office/drawing/2014/main" id="{00000000-0008-0000-0200-00001845D0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0</xdr:col>
      <xdr:colOff>0</xdr:colOff>
      <xdr:row>21</xdr:row>
      <xdr:rowOff>57150</xdr:rowOff>
    </xdr:from>
    <xdr:ext cx="3048000" cy="1628775"/>
    <xdr:graphicFrame macro="">
      <xdr:nvGraphicFramePr>
        <xdr:cNvPr id="2002331257" name="Chart 6" title="Chart">
          <a:extLst>
            <a:ext uri="{FF2B5EF4-FFF2-40B4-BE49-F238E27FC236}">
              <a16:creationId xmlns:a16="http://schemas.microsoft.com/office/drawing/2014/main" id="{00000000-0008-0000-0200-0000792659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0</xdr:col>
      <xdr:colOff>342900</xdr:colOff>
      <xdr:row>0</xdr:row>
      <xdr:rowOff>0</xdr:rowOff>
    </xdr:from>
    <xdr:ext cx="1143000" cy="12096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1143000</xdr:colOff>
      <xdr:row>0</xdr:row>
      <xdr:rowOff>0</xdr:rowOff>
    </xdr:from>
    <xdr:ext cx="1009650" cy="106680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8:H22" headerRowCount="0">
  <tableColumns count="8">
    <tableColumn id="1" xr3:uid="{00000000-0010-0000-0000-000001000000}" name="Column1"/>
    <tableColumn id="2" xr3:uid="{00000000-0010-0000-0000-000002000000}" name="Column2"/>
    <tableColumn id="3" xr3:uid="{00000000-0010-0000-0000-000003000000}" name="Column3"/>
    <tableColumn id="4" xr3:uid="{00000000-0010-0000-0000-000004000000}" name="Column4"/>
    <tableColumn id="5" xr3:uid="{00000000-0010-0000-0000-000005000000}" name="Column5"/>
    <tableColumn id="6" xr3:uid="{00000000-0010-0000-0000-000006000000}" name="Column6"/>
    <tableColumn id="7" xr3:uid="{00000000-0010-0000-0000-000007000000}" name="Column7"/>
    <tableColumn id="8" xr3:uid="{00000000-0010-0000-0000-000008000000}" name="Column8"/>
  </tableColumns>
  <tableStyleInfo name="Shopping List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A30:H34" headerRowCount="0">
  <tableColumns count="8">
    <tableColumn id="1" xr3:uid="{00000000-0010-0000-0100-000001000000}" name="Column1"/>
    <tableColumn id="2" xr3:uid="{00000000-0010-0000-0100-000002000000}" name="Column2"/>
    <tableColumn id="3" xr3:uid="{00000000-0010-0000-0100-000003000000}" name="Column3"/>
    <tableColumn id="4" xr3:uid="{00000000-0010-0000-0100-000004000000}" name="Column4"/>
    <tableColumn id="5" xr3:uid="{00000000-0010-0000-0100-000005000000}" name="Column5"/>
    <tableColumn id="6" xr3:uid="{00000000-0010-0000-0100-000006000000}" name="Column6"/>
    <tableColumn id="7" xr3:uid="{00000000-0010-0000-0100-000007000000}" name="Column7"/>
    <tableColumn id="8" xr3:uid="{00000000-0010-0000-0100-000008000000}" name="Column8"/>
  </tableColumns>
  <tableStyleInfo name="Shopping List-style 2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hyperlink" Target="https://www.amazon.com/Barleans-Fresh-Organic-Flax-16-oz/dp/B002VLZ830/" TargetMode="External"/><Relationship Id="rId1" Type="http://schemas.openxmlformats.org/officeDocument/2006/relationships/hyperlink" Target="https://www.amazon.com/Manitoba-Harvest-Organic-Pressed-Serving/dp/B0016B4080/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K36"/>
  <sheetViews>
    <sheetView showGridLines="0" tabSelected="1" zoomScale="80" zoomScaleNormal="80" workbookViewId="0">
      <selection sqref="A1:B5"/>
    </sheetView>
  </sheetViews>
  <sheetFormatPr defaultColWidth="14.44140625" defaultRowHeight="15" customHeight="1" x14ac:dyDescent="0.25"/>
  <cols>
    <col min="1" max="1" width="6.88671875" customWidth="1"/>
    <col min="2" max="2" width="19" customWidth="1"/>
    <col min="3" max="3" width="7.109375" customWidth="1"/>
    <col min="4" max="4" width="17.33203125" customWidth="1"/>
    <col min="5" max="5" width="25.88671875" customWidth="1"/>
    <col min="6" max="11" width="7.6640625" customWidth="1"/>
  </cols>
  <sheetData>
    <row r="1" spans="1:11" ht="30" customHeight="1" x14ac:dyDescent="0.25">
      <c r="A1" s="171"/>
      <c r="B1" s="146"/>
      <c r="C1" s="172" t="s">
        <v>0</v>
      </c>
      <c r="D1" s="173"/>
      <c r="E1" s="173"/>
      <c r="F1" s="173"/>
      <c r="G1" s="173"/>
      <c r="H1" s="173"/>
      <c r="I1" s="173"/>
      <c r="J1" s="173"/>
      <c r="K1" s="173"/>
    </row>
    <row r="2" spans="1:11" ht="18.75" customHeight="1" x14ac:dyDescent="0.25">
      <c r="A2" s="146"/>
      <c r="B2" s="146"/>
      <c r="C2" s="174" t="s">
        <v>1</v>
      </c>
      <c r="D2" s="173"/>
      <c r="E2" s="173"/>
      <c r="F2" s="173"/>
      <c r="G2" s="173"/>
      <c r="H2" s="173"/>
      <c r="I2" s="175" t="s">
        <v>2</v>
      </c>
      <c r="J2" s="173"/>
      <c r="K2" s="173"/>
    </row>
    <row r="3" spans="1:11" ht="18.75" customHeight="1" x14ac:dyDescent="0.25">
      <c r="A3" s="146"/>
      <c r="B3" s="146"/>
      <c r="C3" s="176" t="s">
        <v>3</v>
      </c>
      <c r="D3" s="165"/>
      <c r="E3" s="165"/>
      <c r="F3" s="165"/>
      <c r="G3" s="165"/>
      <c r="H3" s="165"/>
      <c r="I3" s="165"/>
      <c r="J3" s="2"/>
      <c r="K3" s="201" t="s">
        <v>4</v>
      </c>
    </row>
    <row r="4" spans="1:11" ht="18.75" customHeight="1" thickTop="1" thickBot="1" x14ac:dyDescent="0.3">
      <c r="A4" s="146"/>
      <c r="B4" s="146"/>
      <c r="C4" s="176" t="s">
        <v>5</v>
      </c>
      <c r="D4" s="165"/>
      <c r="E4" s="165"/>
      <c r="F4" s="165"/>
      <c r="G4" s="165"/>
      <c r="H4" s="165"/>
      <c r="I4" s="165"/>
      <c r="J4" s="177"/>
      <c r="K4" s="144"/>
    </row>
    <row r="5" spans="1:11" ht="18.75" hidden="1" customHeight="1" x14ac:dyDescent="0.25">
      <c r="A5" s="146"/>
      <c r="B5" s="146"/>
      <c r="C5" s="178" t="s">
        <v>6</v>
      </c>
      <c r="D5" s="154"/>
      <c r="E5" s="154"/>
      <c r="F5" s="154"/>
      <c r="G5" s="154"/>
      <c r="H5" s="154"/>
      <c r="I5" s="154"/>
      <c r="J5" s="3">
        <f>IF(K3="LB",SUM(J3*J4)*16,SUM(J3*J4)*1000)</f>
        <v>0</v>
      </c>
      <c r="K5" s="4" t="str">
        <f>IF(K3="LB","OZ","G")</f>
        <v>OZ</v>
      </c>
    </row>
    <row r="6" spans="1:11" ht="18.75" customHeight="1" thickTop="1" x14ac:dyDescent="0.25">
      <c r="A6" s="5"/>
      <c r="B6" s="5"/>
      <c r="C6" s="6"/>
      <c r="D6" s="6"/>
      <c r="E6" s="6"/>
      <c r="F6" s="1"/>
      <c r="G6" s="1"/>
      <c r="H6" s="7"/>
      <c r="I6" s="5"/>
      <c r="J6" s="8"/>
      <c r="K6" s="1"/>
    </row>
    <row r="7" spans="1:11" ht="18.75" customHeight="1" thickBot="1" x14ac:dyDescent="0.3">
      <c r="A7" s="9" t="s">
        <v>7</v>
      </c>
      <c r="B7" s="167" t="s">
        <v>8</v>
      </c>
      <c r="C7" s="146"/>
      <c r="D7" s="146"/>
      <c r="E7" s="168"/>
      <c r="F7" s="169" t="s">
        <v>9</v>
      </c>
      <c r="G7" s="146"/>
      <c r="H7" s="146"/>
      <c r="I7" s="168"/>
      <c r="J7" s="157" t="s">
        <v>10</v>
      </c>
      <c r="K7" s="146"/>
    </row>
    <row r="8" spans="1:11" ht="18.75" customHeight="1" thickTop="1" x14ac:dyDescent="0.25">
      <c r="A8" s="150">
        <v>1</v>
      </c>
      <c r="B8" s="10" t="s">
        <v>11</v>
      </c>
      <c r="C8" s="161" t="str">
        <f>'Shopping List'!A8</f>
        <v>Duck Grind</v>
      </c>
      <c r="D8" s="162"/>
      <c r="E8" s="163"/>
      <c r="F8" s="204">
        <f t="shared" ref="F8:F13" si="0">SUM(H8/28.35)</f>
        <v>0</v>
      </c>
      <c r="G8" s="205" t="s">
        <v>12</v>
      </c>
      <c r="H8" s="206">
        <f>IF(K3="LB",SUM((342)*(J5/22.95)),SUM((342)*(J5/650.62)))</f>
        <v>0</v>
      </c>
      <c r="I8" s="207" t="s">
        <v>13</v>
      </c>
      <c r="J8" s="208">
        <f>SUM((D36/1000)*H8)</f>
        <v>0</v>
      </c>
      <c r="K8" s="158" t="s">
        <v>14</v>
      </c>
    </row>
    <row r="9" spans="1:11" ht="18.75" customHeight="1" x14ac:dyDescent="0.25">
      <c r="A9" s="151"/>
      <c r="B9" s="137" t="s">
        <v>15</v>
      </c>
      <c r="C9" s="164" t="str">
        <f>'Shopping List'!A11</f>
        <v>Green Tripe, whole or ground</v>
      </c>
      <c r="D9" s="165"/>
      <c r="E9" s="166"/>
      <c r="F9" s="209">
        <f t="shared" si="0"/>
        <v>0</v>
      </c>
      <c r="G9" s="210"/>
      <c r="H9" s="211">
        <f>IF(K3="LB",SUM((95)*(J5/22.95)),SUM((95)*(J5/650.62)))</f>
        <v>0</v>
      </c>
      <c r="I9" s="210"/>
      <c r="J9" s="212">
        <f>SUM(H9*2.25)</f>
        <v>0</v>
      </c>
      <c r="K9" s="159"/>
    </row>
    <row r="10" spans="1:11" ht="18.75" customHeight="1" x14ac:dyDescent="0.25">
      <c r="A10" s="151"/>
      <c r="B10" s="138"/>
      <c r="C10" s="164" t="str">
        <f>'Shopping List'!A12</f>
        <v>Beef Heart</v>
      </c>
      <c r="D10" s="165"/>
      <c r="E10" s="166"/>
      <c r="F10" s="209">
        <f t="shared" si="0"/>
        <v>0</v>
      </c>
      <c r="G10" s="210"/>
      <c r="H10" s="211">
        <f>IF(K3="LB",SUM((56)*(J5/22.95)),SUM((56)*(J5/650.62)))</f>
        <v>0</v>
      </c>
      <c r="I10" s="210"/>
      <c r="J10" s="212">
        <f>H10*1.12</f>
        <v>0</v>
      </c>
      <c r="K10" s="159"/>
    </row>
    <row r="11" spans="1:11" ht="18.75" customHeight="1" x14ac:dyDescent="0.25">
      <c r="A11" s="151"/>
      <c r="B11" s="12" t="s">
        <v>16</v>
      </c>
      <c r="C11" s="164" t="str">
        <f>'Shopping List'!A15</f>
        <v>Monster Mash</v>
      </c>
      <c r="D11" s="165"/>
      <c r="E11" s="166"/>
      <c r="F11" s="209">
        <f t="shared" si="0"/>
        <v>0</v>
      </c>
      <c r="G11" s="210"/>
      <c r="H11" s="211">
        <f>IF(K3="LB",SUM((52)*(J5/22.95)),SUM((52)*(J5/650.62)))</f>
        <v>0</v>
      </c>
      <c r="I11" s="210"/>
      <c r="J11" s="212">
        <f>SUM( H11*1.185)</f>
        <v>0</v>
      </c>
      <c r="K11" s="159"/>
    </row>
    <row r="12" spans="1:11" ht="18.75" customHeight="1" x14ac:dyDescent="0.25">
      <c r="A12" s="151"/>
      <c r="B12" s="12" t="s">
        <v>17</v>
      </c>
      <c r="C12" s="164" t="str">
        <f>'Shopping List'!A16</f>
        <v>Salmon, whole or ground</v>
      </c>
      <c r="D12" s="165"/>
      <c r="E12" s="166"/>
      <c r="F12" s="209">
        <f t="shared" si="0"/>
        <v>0</v>
      </c>
      <c r="G12" s="210"/>
      <c r="H12" s="211">
        <f>IF(K3="LB",SUM((45)*(J5/22.95)),SUM((45)*(J5/650.62)))</f>
        <v>0</v>
      </c>
      <c r="I12" s="210"/>
      <c r="J12" s="212">
        <f>SUM( H12*1.27)</f>
        <v>0</v>
      </c>
      <c r="K12" s="159"/>
    </row>
    <row r="13" spans="1:11" ht="18.75" customHeight="1" x14ac:dyDescent="0.25">
      <c r="A13" s="151"/>
      <c r="B13" s="12" t="s">
        <v>18</v>
      </c>
      <c r="C13" s="164" t="str">
        <f>'Shopping List'!A19</f>
        <v>Broccoli, raw pureed or steamed</v>
      </c>
      <c r="D13" s="165"/>
      <c r="E13" s="166"/>
      <c r="F13" s="209">
        <f t="shared" si="0"/>
        <v>0</v>
      </c>
      <c r="G13" s="213"/>
      <c r="H13" s="211">
        <f>IF(K3="LB",SUM((55)*(J5/22.95)),SUM((55)*(J5/650.62)))</f>
        <v>0</v>
      </c>
      <c r="I13" s="210"/>
      <c r="J13" s="212">
        <f>H13*0.34</f>
        <v>0</v>
      </c>
      <c r="K13" s="159"/>
    </row>
    <row r="14" spans="1:11" ht="18.75" customHeight="1" thickBot="1" x14ac:dyDescent="0.3">
      <c r="A14" s="151"/>
      <c r="B14" s="11" t="s">
        <v>19</v>
      </c>
      <c r="C14" s="153" t="str">
        <f>'Shopping List'!A31</f>
        <v>Flaxseed Oil</v>
      </c>
      <c r="D14" s="154"/>
      <c r="E14" s="155"/>
      <c r="F14" s="209">
        <f>H14/5.15</f>
        <v>0</v>
      </c>
      <c r="G14" s="214" t="s">
        <v>20</v>
      </c>
      <c r="H14" s="211">
        <f>IF(K3="lb",SUM((1.7)*(J5/22.95)),SUM((1.7*(J5/650.62))))</f>
        <v>0</v>
      </c>
      <c r="I14" s="213"/>
      <c r="J14" s="212">
        <f>H14*8.84</f>
        <v>0</v>
      </c>
      <c r="K14" s="159"/>
    </row>
    <row r="15" spans="1:11" ht="18.75" customHeight="1" thickTop="1" thickBot="1" x14ac:dyDescent="0.3">
      <c r="A15" s="151"/>
      <c r="B15" s="139" t="s">
        <v>21</v>
      </c>
      <c r="C15" s="142"/>
      <c r="D15" s="143"/>
      <c r="E15" s="144"/>
      <c r="F15" s="215" t="str">
        <f t="shared" ref="F15:G15" si="1">H15</f>
        <v>error</v>
      </c>
      <c r="G15" s="214" t="str">
        <f t="shared" si="1"/>
        <v>error</v>
      </c>
      <c r="H15" s="211" t="str">
        <f>IF(C15="Thorne Research Zinc Picolinate (15mg/capsule)",SUM(2)*(F18/22.95), IF(C15="Solgar Zinc Picolinate (22mg/tablet)", SUM(30/22)*(F18/22.95),IF( C15="Thorne Research Zinc Picolinate (30mg/capsule)",SUM(1)*(F18/22.95),IF(C15="NOW Zinc Picolinate (50mg/capsule)",SUM(30/50)*(F18/22.95),"error"))))</f>
        <v>error</v>
      </c>
      <c r="I15" s="216" t="str">
        <f>IF(C15="Thorne Research Zinc Picolinate (15mg/capsule)", "PILL", IF(C15="Solgar Zinc Picolinate (22mg/tablet)", "PILL",IF( C15="Thorne Research Zinc Picolinate (30mg/capsule)", "PILL",IF(C15="NOW Zinc Picolinate (50mg/capsule)","PILL","error"))))</f>
        <v>error</v>
      </c>
      <c r="J15" s="212">
        <f t="shared" ref="J15:J17" si="2">SUM(0)</f>
        <v>0</v>
      </c>
      <c r="K15" s="159"/>
    </row>
    <row r="16" spans="1:11" ht="18.75" customHeight="1" thickTop="1" thickBot="1" x14ac:dyDescent="0.3">
      <c r="A16" s="151"/>
      <c r="B16" s="140"/>
      <c r="C16" s="145" t="str">
        <f>'Shopping List'!A33</f>
        <v>NOW Vitamin E (31.6IU/drop)</v>
      </c>
      <c r="D16" s="146"/>
      <c r="E16" s="147"/>
      <c r="F16" s="211">
        <f t="shared" ref="F16:F17" si="3">H16</f>
        <v>0</v>
      </c>
      <c r="G16" s="217" t="s">
        <v>22</v>
      </c>
      <c r="H16" s="211">
        <f>IF(K3="LB",SUM((2)*(J5/22.95)),SUM((2)*(J5/650.62)))</f>
        <v>0</v>
      </c>
      <c r="I16" s="218" t="str">
        <f>G16</f>
        <v>DROP</v>
      </c>
      <c r="J16" s="212">
        <f t="shared" si="2"/>
        <v>0</v>
      </c>
      <c r="K16" s="159"/>
    </row>
    <row r="17" spans="1:11" ht="18.75" customHeight="1" thickTop="1" thickBot="1" x14ac:dyDescent="0.3">
      <c r="A17" s="152"/>
      <c r="B17" s="141"/>
      <c r="C17" s="156"/>
      <c r="D17" s="143"/>
      <c r="E17" s="144"/>
      <c r="F17" s="219" t="str">
        <f t="shared" si="3"/>
        <v>error</v>
      </c>
      <c r="G17" s="220" t="str">
        <f>I17</f>
        <v>error</v>
      </c>
      <c r="H17" s="221" t="str">
        <f>IF(C17="NOW Pure Kelp Powder (450mcg/scoop)",(J18/1000)*220/450,IF(C17="Solgar Kelp (200mcg/capsule)",(J18/1000)*220/200,IF(C17="Mary Ruth's Pure Iodine (125mcg/drop)",(J18/1000)*220/(250/2),IF(C17="NOW Kelp Tablets (150mcg/tablet)",(J18/1000)*220/(150),"error"       ))))</f>
        <v>error</v>
      </c>
      <c r="I17" s="222" t="str">
        <f>IF(C17="NOW Pure Kelp Powder (450mcg/scoop)", "SCOOP",IF(C17="Solgar Kelp (200mcg/capsule)","PILL",IF(C17="Mary Ruth's Pure Iodine (125mcg/drop)","DROP",IF(C17="NOW Kelp Tablets (150mcg/tablet)","PILL","error"      ))))</f>
        <v>error</v>
      </c>
      <c r="J17" s="223">
        <f t="shared" si="2"/>
        <v>0</v>
      </c>
      <c r="K17" s="160"/>
    </row>
    <row r="18" spans="1:11" ht="18.75" customHeight="1" thickTop="1" x14ac:dyDescent="0.25">
      <c r="A18" s="13"/>
      <c r="B18" s="6"/>
      <c r="C18" s="6"/>
      <c r="D18" s="6"/>
      <c r="E18" s="6"/>
      <c r="F18" s="202">
        <f>SUM(H18/28.35)</f>
        <v>0</v>
      </c>
      <c r="G18" s="203" t="str">
        <f>G8</f>
        <v>OZ</v>
      </c>
      <c r="H18" s="16">
        <f>SUM(H8:H13)</f>
        <v>0</v>
      </c>
      <c r="I18" s="17" t="str">
        <f>I8</f>
        <v>G</v>
      </c>
      <c r="J18" s="18">
        <f>SUM(J8:J17)</f>
        <v>0</v>
      </c>
      <c r="K18" s="19" t="str">
        <f>K8</f>
        <v>KCAL</v>
      </c>
    </row>
    <row r="19" spans="1:11" ht="18.75" customHeight="1" x14ac:dyDescent="0.25">
      <c r="A19" s="13"/>
      <c r="B19" s="6"/>
      <c r="C19" s="6"/>
      <c r="D19" s="6"/>
      <c r="E19" s="6"/>
      <c r="F19" s="20"/>
      <c r="G19" s="21"/>
      <c r="H19" s="22"/>
      <c r="I19" s="23"/>
      <c r="J19" s="24"/>
      <c r="K19" s="25"/>
    </row>
    <row r="20" spans="1:11" ht="18.75" customHeight="1" x14ac:dyDescent="0.25">
      <c r="A20" s="148" t="s">
        <v>23</v>
      </c>
      <c r="B20" s="149"/>
      <c r="C20" s="149"/>
      <c r="D20" s="149"/>
      <c r="E20" s="20"/>
      <c r="F20" s="26" t="s">
        <v>24</v>
      </c>
      <c r="G20" s="26"/>
      <c r="H20" s="26"/>
      <c r="I20" s="26"/>
      <c r="J20" s="26"/>
      <c r="K20" s="26"/>
    </row>
    <row r="21" spans="1:11" ht="18.75" customHeight="1" x14ac:dyDescent="0.25">
      <c r="A21" s="13"/>
      <c r="B21" s="6"/>
      <c r="C21" s="6"/>
      <c r="D21" s="6"/>
      <c r="E21" s="6"/>
      <c r="F21" s="20"/>
      <c r="G21" s="21"/>
      <c r="H21" s="22"/>
      <c r="I21" s="23"/>
      <c r="J21" s="24"/>
      <c r="K21" s="25"/>
    </row>
    <row r="22" spans="1:11" ht="18.75" customHeight="1" x14ac:dyDescent="0.25">
      <c r="A22" s="13"/>
      <c r="B22" s="6"/>
      <c r="C22" s="6"/>
      <c r="D22" s="6"/>
      <c r="E22" s="6"/>
      <c r="F22" s="20"/>
      <c r="G22" s="21"/>
      <c r="H22" s="22"/>
      <c r="I22" s="23"/>
      <c r="J22" s="24"/>
      <c r="K22" s="25"/>
    </row>
    <row r="23" spans="1:11" ht="18.75" customHeight="1" x14ac:dyDescent="0.25">
      <c r="A23" s="13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ht="18.75" customHeight="1" x14ac:dyDescent="0.25">
      <c r="A24" s="13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ht="18.75" customHeight="1" x14ac:dyDescent="0.25">
      <c r="A25" s="13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ht="18.75" customHeight="1" x14ac:dyDescent="0.25">
      <c r="A26" s="13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ht="18.75" customHeight="1" x14ac:dyDescent="0.25">
      <c r="A27" s="13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ht="18.75" customHeight="1" x14ac:dyDescent="0.25">
      <c r="A28" s="13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ht="18.75" customHeight="1" x14ac:dyDescent="0.25">
      <c r="A29" s="13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ht="18.75" customHeight="1" x14ac:dyDescent="0.25">
      <c r="A30" s="13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ht="18.75" customHeight="1" x14ac:dyDescent="0.25">
      <c r="A31" s="27"/>
      <c r="B31" s="28" t="s">
        <v>25</v>
      </c>
      <c r="C31" s="29"/>
      <c r="D31" s="30">
        <v>0.15</v>
      </c>
      <c r="E31" s="31"/>
      <c r="F31" s="27"/>
      <c r="G31" s="32" t="s">
        <v>15</v>
      </c>
      <c r="H31" s="33"/>
      <c r="I31" s="34"/>
      <c r="J31" s="35">
        <f>SUM((H8*0.6)+H9+H10)</f>
        <v>0</v>
      </c>
      <c r="K31" s="36" t="str">
        <f>I8</f>
        <v>G</v>
      </c>
    </row>
    <row r="32" spans="1:11" ht="18.75" customHeight="1" x14ac:dyDescent="0.25">
      <c r="A32" s="37"/>
      <c r="B32" s="38" t="s">
        <v>26</v>
      </c>
      <c r="C32" s="39"/>
      <c r="D32" s="40">
        <v>0.11</v>
      </c>
      <c r="E32" s="31"/>
      <c r="F32" s="37"/>
      <c r="G32" s="41" t="s">
        <v>27</v>
      </c>
      <c r="H32" s="42"/>
      <c r="I32" s="43"/>
      <c r="J32" s="44">
        <f>SUM(H8*0.3)</f>
        <v>0</v>
      </c>
      <c r="K32" s="45" t="str">
        <f>I8</f>
        <v>G</v>
      </c>
    </row>
    <row r="33" spans="1:11" ht="18.75" customHeight="1" x14ac:dyDescent="0.25">
      <c r="A33" s="46"/>
      <c r="B33" s="38" t="s">
        <v>28</v>
      </c>
      <c r="C33" s="39"/>
      <c r="D33" s="40">
        <v>0</v>
      </c>
      <c r="E33" s="31"/>
      <c r="F33" s="46"/>
      <c r="G33" s="38" t="s">
        <v>16</v>
      </c>
      <c r="H33" s="42"/>
      <c r="I33" s="43"/>
      <c r="J33" s="44">
        <f>SUM( H8*0.1)+H11</f>
        <v>0</v>
      </c>
      <c r="K33" s="45" t="str">
        <f>I8</f>
        <v>G</v>
      </c>
    </row>
    <row r="34" spans="1:11" ht="18.75" customHeight="1" x14ac:dyDescent="0.25">
      <c r="A34" s="47"/>
      <c r="B34" s="38" t="s">
        <v>29</v>
      </c>
      <c r="C34" s="39"/>
      <c r="D34" s="40">
        <v>7.0000000000000007E-2</v>
      </c>
      <c r="E34" s="31"/>
      <c r="F34" s="47"/>
      <c r="G34" s="41" t="s">
        <v>30</v>
      </c>
      <c r="H34" s="42"/>
      <c r="I34" s="43"/>
      <c r="J34" s="44">
        <f>H13</f>
        <v>0</v>
      </c>
      <c r="K34" s="45" t="str">
        <f>I8</f>
        <v>G</v>
      </c>
    </row>
    <row r="35" spans="1:11" ht="18.75" customHeight="1" x14ac:dyDescent="0.25">
      <c r="A35" s="48"/>
      <c r="B35" s="38" t="s">
        <v>31</v>
      </c>
      <c r="C35" s="39"/>
      <c r="D35" s="40">
        <v>0.66</v>
      </c>
      <c r="E35" s="31"/>
      <c r="F35" s="48"/>
      <c r="G35" s="49" t="s">
        <v>17</v>
      </c>
      <c r="H35" s="50"/>
      <c r="I35" s="51"/>
      <c r="J35" s="52">
        <f>H12</f>
        <v>0</v>
      </c>
      <c r="K35" s="53" t="str">
        <f>I8</f>
        <v>G</v>
      </c>
    </row>
    <row r="36" spans="1:11" ht="18.75" customHeight="1" x14ac:dyDescent="0.25">
      <c r="A36" s="54"/>
      <c r="B36" s="55" t="s">
        <v>32</v>
      </c>
      <c r="C36" s="54"/>
      <c r="D36" s="56">
        <v>1670</v>
      </c>
      <c r="E36" s="57"/>
    </row>
  </sheetData>
  <mergeCells count="28">
    <mergeCell ref="A1:B5"/>
    <mergeCell ref="C1:K1"/>
    <mergeCell ref="C2:H2"/>
    <mergeCell ref="I2:K2"/>
    <mergeCell ref="C3:I3"/>
    <mergeCell ref="C4:I4"/>
    <mergeCell ref="J4:K4"/>
    <mergeCell ref="C5:I5"/>
    <mergeCell ref="J7:K7"/>
    <mergeCell ref="K8:K17"/>
    <mergeCell ref="C8:E8"/>
    <mergeCell ref="C9:E9"/>
    <mergeCell ref="C10:E10"/>
    <mergeCell ref="C11:E11"/>
    <mergeCell ref="C12:E12"/>
    <mergeCell ref="C13:E13"/>
    <mergeCell ref="B7:E7"/>
    <mergeCell ref="F7:I7"/>
    <mergeCell ref="G8:G13"/>
    <mergeCell ref="I8:I14"/>
    <mergeCell ref="B9:B10"/>
    <mergeCell ref="B15:B17"/>
    <mergeCell ref="C15:E15"/>
    <mergeCell ref="C16:E16"/>
    <mergeCell ref="A20:D20"/>
    <mergeCell ref="A8:A17"/>
    <mergeCell ref="C14:E14"/>
    <mergeCell ref="C17:E17"/>
  </mergeCells>
  <conditionalFormatting sqref="H8">
    <cfRule type="expression" dxfId="129" priority="9">
      <formula>K5="g"</formula>
    </cfRule>
  </conditionalFormatting>
  <conditionalFormatting sqref="I8">
    <cfRule type="expression" dxfId="128" priority="10">
      <formula>K5="g"</formula>
    </cfRule>
  </conditionalFormatting>
  <conditionalFormatting sqref="H11:H16">
    <cfRule type="expression" dxfId="127" priority="11">
      <formula>K6="g"</formula>
    </cfRule>
  </conditionalFormatting>
  <conditionalFormatting sqref="H9:H16">
    <cfRule type="expression" dxfId="126" priority="12">
      <formula>K5="g"</formula>
    </cfRule>
  </conditionalFormatting>
  <conditionalFormatting sqref="H13:H15">
    <cfRule type="expression" dxfId="125" priority="13">
      <formula>K5="g"</formula>
    </cfRule>
  </conditionalFormatting>
  <conditionalFormatting sqref="H16">
    <cfRule type="expression" dxfId="124" priority="14">
      <formula>K5="G"</formula>
    </cfRule>
  </conditionalFormatting>
  <conditionalFormatting sqref="H17">
    <cfRule type="expression" dxfId="123" priority="15">
      <formula>K5="G"</formula>
    </cfRule>
  </conditionalFormatting>
  <conditionalFormatting sqref="I16">
    <cfRule type="expression" dxfId="122" priority="16">
      <formula>K5="G"</formula>
    </cfRule>
  </conditionalFormatting>
  <conditionalFormatting sqref="I17">
    <cfRule type="expression" dxfId="121" priority="17">
      <formula>K5="G"</formula>
    </cfRule>
  </conditionalFormatting>
  <conditionalFormatting sqref="F8:G17">
    <cfRule type="expression" dxfId="118" priority="6">
      <formula>$K$3="kg"</formula>
    </cfRule>
    <cfRule type="expression" dxfId="117" priority="2">
      <formula>$K$3="lb"</formula>
    </cfRule>
  </conditionalFormatting>
  <conditionalFormatting sqref="H8:I17">
    <cfRule type="expression" dxfId="116" priority="5">
      <formula>$K$3="lb"</formula>
    </cfRule>
    <cfRule type="expression" dxfId="115" priority="1">
      <formula>$K$3="kg"</formula>
    </cfRule>
  </conditionalFormatting>
  <conditionalFormatting sqref="F18:G18">
    <cfRule type="expression" dxfId="120" priority="4">
      <formula>$K$3="lb"</formula>
    </cfRule>
  </conditionalFormatting>
  <conditionalFormatting sqref="H18:I18">
    <cfRule type="expression" dxfId="119" priority="3">
      <formula>$K$3="kg"</formula>
    </cfRule>
  </conditionalFormatting>
  <dataValidations count="3">
    <dataValidation type="list" allowBlank="1" showDropDown="1" sqref="J4" xr:uid="{00000000-0002-0000-0000-000000000000}">
      <formula1>"0.01,0.0125,0.015,0.0175,0.02,0.0225,0.025,0.0275,0.03,0.0325,0.035,0.0375,0.04,0.0425,0.045,0.0475,0.05,0.055,0.06,0.065,0.07,0.075,0.08,0.085,0.09,0.095,0.1"</formula1>
    </dataValidation>
    <dataValidation type="list" allowBlank="1" sqref="C15" xr:uid="{00000000-0002-0000-0000-000001000000}">
      <formula1>"Thorne Research Zinc Picolinate (15mg/capsule),Solgar Zinc Picolinate (22mg/tablet),Thorne Research Zinc Picolinate (30mg/capsule),NOW Zinc Picolinate (50mg/capsule)"</formula1>
    </dataValidation>
    <dataValidation type="list" allowBlank="1" sqref="C17" xr:uid="{00000000-0002-0000-0000-000002000000}">
      <formula1>"NOW Pure Kelp Powder (450mcg/scoop),NOW Kelp Tablets (150mcg/tablet),Solgar Kelp (200mcg/capsule),Mary Ruth's Pure Iodine (125mcg/drop)"</formula1>
    </dataValidation>
  </dataValidations>
  <printOptions horizontalCentered="1" gridLines="1"/>
  <pageMargins left="0.7" right="0.7" top="0.75" bottom="0.75" header="0" footer="0"/>
  <pageSetup fitToHeight="0" pageOrder="overThenDown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K36"/>
  <sheetViews>
    <sheetView showGridLines="0" zoomScale="80" zoomScaleNormal="80" workbookViewId="0">
      <selection sqref="A1:B5"/>
    </sheetView>
  </sheetViews>
  <sheetFormatPr defaultColWidth="14.44140625" defaultRowHeight="15" customHeight="1" x14ac:dyDescent="0.25"/>
  <cols>
    <col min="1" max="1" width="6.88671875" customWidth="1"/>
    <col min="2" max="2" width="19" customWidth="1"/>
    <col min="3" max="3" width="7.109375" customWidth="1"/>
    <col min="4" max="4" width="17.33203125" customWidth="1"/>
    <col min="5" max="5" width="25.88671875" customWidth="1"/>
    <col min="6" max="11" width="7.6640625" customWidth="1"/>
  </cols>
  <sheetData>
    <row r="1" spans="1:11" ht="30" customHeight="1" x14ac:dyDescent="0.25">
      <c r="A1" s="171"/>
      <c r="B1" s="146"/>
      <c r="C1" s="172" t="s">
        <v>33</v>
      </c>
      <c r="D1" s="173"/>
      <c r="E1" s="173"/>
      <c r="F1" s="173"/>
      <c r="G1" s="173"/>
      <c r="H1" s="173"/>
      <c r="I1" s="173"/>
      <c r="J1" s="173"/>
      <c r="K1" s="173"/>
    </row>
    <row r="2" spans="1:11" ht="18.75" customHeight="1" x14ac:dyDescent="0.25">
      <c r="A2" s="146"/>
      <c r="B2" s="146"/>
      <c r="C2" s="174" t="s">
        <v>1</v>
      </c>
      <c r="D2" s="173"/>
      <c r="E2" s="173"/>
      <c r="F2" s="173"/>
      <c r="G2" s="173"/>
      <c r="H2" s="173"/>
      <c r="I2" s="58"/>
      <c r="J2" s="59"/>
      <c r="K2" s="59" t="str">
        <f>'Menu 1 - Duck'!I2</f>
        <v>Puppy Development</v>
      </c>
    </row>
    <row r="3" spans="1:11" ht="18.75" customHeight="1" x14ac:dyDescent="0.25">
      <c r="A3" s="146"/>
      <c r="B3" s="146"/>
      <c r="C3" s="176" t="s">
        <v>3</v>
      </c>
      <c r="D3" s="165"/>
      <c r="E3" s="165"/>
      <c r="F3" s="165"/>
      <c r="G3" s="165"/>
      <c r="H3" s="165"/>
      <c r="I3" s="165"/>
      <c r="J3" s="59">
        <f>'Menu 1 - Duck'!J3</f>
        <v>0</v>
      </c>
      <c r="K3" s="60" t="str">
        <f>'Menu 1 - Duck'!K3</f>
        <v>LB</v>
      </c>
    </row>
    <row r="4" spans="1:11" ht="18.75" customHeight="1" x14ac:dyDescent="0.25">
      <c r="A4" s="146"/>
      <c r="B4" s="146"/>
      <c r="C4" s="176" t="s">
        <v>5</v>
      </c>
      <c r="D4" s="165"/>
      <c r="E4" s="165"/>
      <c r="F4" s="165"/>
      <c r="G4" s="165"/>
      <c r="H4" s="165"/>
      <c r="I4" s="165"/>
      <c r="J4" s="184">
        <f>'Menu 1 - Duck'!J4</f>
        <v>0</v>
      </c>
      <c r="K4" s="165"/>
    </row>
    <row r="5" spans="1:11" ht="18.75" hidden="1" customHeight="1" x14ac:dyDescent="0.25">
      <c r="A5" s="146"/>
      <c r="B5" s="146"/>
      <c r="C5" s="178" t="str">
        <f>'Menu 1 - Duck'!C5</f>
        <v>Daily Intake by Weight</v>
      </c>
      <c r="D5" s="154"/>
      <c r="E5" s="154"/>
      <c r="F5" s="154"/>
      <c r="G5" s="154"/>
      <c r="H5" s="154"/>
      <c r="I5" s="154"/>
      <c r="J5" s="3">
        <f>'Menu 1 - Duck'!J5</f>
        <v>0</v>
      </c>
      <c r="K5" s="4" t="str">
        <f>'Menu 1 - Duck'!K5</f>
        <v>OZ</v>
      </c>
    </row>
    <row r="6" spans="1:11" ht="18.75" customHeight="1" x14ac:dyDescent="0.25">
      <c r="A6" s="5"/>
      <c r="B6" s="5"/>
      <c r="C6" s="6"/>
      <c r="D6" s="6"/>
      <c r="E6" s="6"/>
      <c r="F6" s="1"/>
      <c r="G6" s="1"/>
      <c r="H6" s="1"/>
      <c r="I6" s="5"/>
      <c r="J6" s="8"/>
      <c r="K6" s="1"/>
    </row>
    <row r="7" spans="1:11" ht="18.75" customHeight="1" x14ac:dyDescent="0.25">
      <c r="A7" s="9" t="s">
        <v>7</v>
      </c>
      <c r="B7" s="167" t="s">
        <v>8</v>
      </c>
      <c r="C7" s="146"/>
      <c r="D7" s="146"/>
      <c r="E7" s="168"/>
      <c r="F7" s="169" t="s">
        <v>9</v>
      </c>
      <c r="G7" s="146"/>
      <c r="H7" s="146"/>
      <c r="I7" s="168"/>
      <c r="J7" s="157" t="s">
        <v>10</v>
      </c>
      <c r="K7" s="146"/>
    </row>
    <row r="8" spans="1:11" ht="18.75" customHeight="1" x14ac:dyDescent="0.25">
      <c r="A8" s="150">
        <v>2</v>
      </c>
      <c r="B8" s="10" t="s">
        <v>11</v>
      </c>
      <c r="C8" s="161" t="str">
        <f>'Shopping List'!A9</f>
        <v>Beef Grind</v>
      </c>
      <c r="D8" s="162"/>
      <c r="E8" s="163"/>
      <c r="F8" s="224">
        <f t="shared" ref="F8:F10" si="0">SUM(H8/28.35)</f>
        <v>0</v>
      </c>
      <c r="G8" s="225" t="s">
        <v>12</v>
      </c>
      <c r="H8" s="208">
        <f>IF(K3="LB",SUM((241.2)*(J5/20.86)),SUM((241.2)*(J5/591.37)))</f>
        <v>0</v>
      </c>
      <c r="I8" s="226" t="s">
        <v>13</v>
      </c>
      <c r="J8" s="208">
        <f>SUM((D36/1000)*H8)</f>
        <v>0</v>
      </c>
      <c r="K8" s="227" t="s">
        <v>14</v>
      </c>
    </row>
    <row r="9" spans="1:11" ht="18.75" customHeight="1" x14ac:dyDescent="0.25">
      <c r="A9" s="151"/>
      <c r="B9" s="12" t="s">
        <v>34</v>
      </c>
      <c r="C9" s="164" t="str">
        <f>'Shopping List'!A13</f>
        <v>Poultry Neck or Head, whole or ground</v>
      </c>
      <c r="D9" s="165"/>
      <c r="E9" s="166"/>
      <c r="F9" s="228">
        <f t="shared" si="0"/>
        <v>0</v>
      </c>
      <c r="G9" s="229"/>
      <c r="H9" s="212">
        <f>IF(K3="LB",SUM((120)*(J5/20.86)),SUM((120)*(J5/591.37)))</f>
        <v>0</v>
      </c>
      <c r="I9" s="229"/>
      <c r="J9" s="212">
        <f>H9*1.25</f>
        <v>0</v>
      </c>
      <c r="K9" s="230"/>
    </row>
    <row r="10" spans="1:11" ht="18.75" customHeight="1" x14ac:dyDescent="0.25">
      <c r="A10" s="151"/>
      <c r="B10" s="12" t="s">
        <v>15</v>
      </c>
      <c r="C10" s="164" t="str">
        <f>'Shopping List'!A11</f>
        <v>Green Tripe, whole or ground</v>
      </c>
      <c r="D10" s="165"/>
      <c r="E10" s="166"/>
      <c r="F10" s="228">
        <f t="shared" si="0"/>
        <v>0</v>
      </c>
      <c r="G10" s="229"/>
      <c r="H10" s="212">
        <f>'Menu 1 - Duck'!H9</f>
        <v>0</v>
      </c>
      <c r="I10" s="229"/>
      <c r="J10" s="212">
        <f>H10*2.25</f>
        <v>0</v>
      </c>
      <c r="K10" s="230"/>
    </row>
    <row r="11" spans="1:11" ht="18.75" customHeight="1" x14ac:dyDescent="0.25">
      <c r="A11" s="151"/>
      <c r="B11" s="12" t="s">
        <v>35</v>
      </c>
      <c r="C11" s="164" t="str">
        <f>'Shopping List'!A15</f>
        <v>Monster Mash</v>
      </c>
      <c r="D11" s="165"/>
      <c r="E11" s="166"/>
      <c r="F11" s="228">
        <f>H11/28.35</f>
        <v>0</v>
      </c>
      <c r="G11" s="229"/>
      <c r="H11" s="212">
        <f>'Menu 1 - Duck'!H11</f>
        <v>0</v>
      </c>
      <c r="I11" s="229"/>
      <c r="J11" s="212">
        <f>SUM( H11*1.185)</f>
        <v>0</v>
      </c>
      <c r="K11" s="230"/>
    </row>
    <row r="12" spans="1:11" ht="18.75" customHeight="1" x14ac:dyDescent="0.25">
      <c r="A12" s="151"/>
      <c r="B12" s="12" t="s">
        <v>17</v>
      </c>
      <c r="C12" s="164" t="str">
        <f>'Shopping List'!A17</f>
        <v>Mackerel</v>
      </c>
      <c r="D12" s="165"/>
      <c r="E12" s="166"/>
      <c r="F12" s="228">
        <f t="shared" ref="F12:F13" si="1">SUM(H12/28.35)</f>
        <v>0</v>
      </c>
      <c r="G12" s="229"/>
      <c r="H12" s="212">
        <f>'Menu 1 - Duck'!H12</f>
        <v>0</v>
      </c>
      <c r="I12" s="229"/>
      <c r="J12" s="212">
        <f>H12*2.05</f>
        <v>0</v>
      </c>
      <c r="K12" s="230"/>
    </row>
    <row r="13" spans="1:11" ht="18.75" customHeight="1" x14ac:dyDescent="0.25">
      <c r="A13" s="151"/>
      <c r="B13" s="12" t="s">
        <v>18</v>
      </c>
      <c r="C13" s="164" t="str">
        <f>'Shopping List'!A20</f>
        <v>Spinach, raw pureed or steamed</v>
      </c>
      <c r="D13" s="165"/>
      <c r="E13" s="166"/>
      <c r="F13" s="228">
        <f t="shared" si="1"/>
        <v>0</v>
      </c>
      <c r="G13" s="231"/>
      <c r="H13" s="212">
        <f>'Menu 1 - Duck'!H13</f>
        <v>0</v>
      </c>
      <c r="I13" s="229"/>
      <c r="J13" s="212">
        <f>SUM(H13*0.23)</f>
        <v>0</v>
      </c>
      <c r="K13" s="230"/>
    </row>
    <row r="14" spans="1:11" ht="18.75" customHeight="1" x14ac:dyDescent="0.25">
      <c r="A14" s="151"/>
      <c r="B14" s="12" t="s">
        <v>19</v>
      </c>
      <c r="C14" s="179" t="str">
        <f>'Shopping List'!A30</f>
        <v>Hempseed Oil</v>
      </c>
      <c r="D14" s="165"/>
      <c r="E14" s="166"/>
      <c r="F14" s="228">
        <f>SUM(H14/5.7)</f>
        <v>0</v>
      </c>
      <c r="G14" s="232" t="s">
        <v>20</v>
      </c>
      <c r="H14" s="212">
        <f>IF(K3="LB",SUM((1.88)*(J5/20.86)),SUM((1.88)*(J5/591.37)))</f>
        <v>0</v>
      </c>
      <c r="I14" s="231"/>
      <c r="J14" s="212">
        <f>H14*8.6666</f>
        <v>0</v>
      </c>
      <c r="K14" s="230"/>
    </row>
    <row r="15" spans="1:11" ht="18.75" customHeight="1" x14ac:dyDescent="0.25">
      <c r="A15" s="151"/>
      <c r="B15" s="137" t="s">
        <v>21</v>
      </c>
      <c r="C15" s="179">
        <f>'Menu 1 - Duck'!C15</f>
        <v>0</v>
      </c>
      <c r="D15" s="165"/>
      <c r="E15" s="166"/>
      <c r="F15" s="212" t="str">
        <f t="shared" ref="F15:G15" si="2">H15</f>
        <v>error</v>
      </c>
      <c r="G15" s="232" t="str">
        <f t="shared" si="2"/>
        <v>error</v>
      </c>
      <c r="H15" s="212" t="str">
        <f>'Menu 1 - Duck'!H15</f>
        <v>error</v>
      </c>
      <c r="I15" s="233" t="str">
        <f>'Menu 1 - Duck'!I15</f>
        <v>error</v>
      </c>
      <c r="J15" s="212">
        <v>0</v>
      </c>
      <c r="K15" s="230"/>
    </row>
    <row r="16" spans="1:11" ht="18.75" customHeight="1" x14ac:dyDescent="0.25">
      <c r="A16" s="151"/>
      <c r="B16" s="170"/>
      <c r="C16" s="179" t="str">
        <f>'Shopping List'!A33</f>
        <v>NOW Vitamin E (31.6IU/drop)</v>
      </c>
      <c r="D16" s="165"/>
      <c r="E16" s="166"/>
      <c r="F16" s="212">
        <f t="shared" ref="F16:F17" si="3">H16</f>
        <v>0</v>
      </c>
      <c r="G16" s="232" t="s">
        <v>22</v>
      </c>
      <c r="H16" s="212">
        <f>'Menu 1 - Duck'!F16</f>
        <v>0</v>
      </c>
      <c r="I16" s="234" t="str">
        <f>G16</f>
        <v>DROP</v>
      </c>
      <c r="J16" s="212">
        <f t="shared" ref="J16:J17" si="4">SUM(0)</f>
        <v>0</v>
      </c>
      <c r="K16" s="230"/>
    </row>
    <row r="17" spans="1:11" ht="18.75" customHeight="1" x14ac:dyDescent="0.25">
      <c r="A17" s="152"/>
      <c r="B17" s="183"/>
      <c r="C17" s="180">
        <f>'Menu 1 - Duck'!C17</f>
        <v>0</v>
      </c>
      <c r="D17" s="181"/>
      <c r="E17" s="182"/>
      <c r="F17" s="223" t="str">
        <f t="shared" si="3"/>
        <v>error</v>
      </c>
      <c r="G17" s="235" t="str">
        <f>I17</f>
        <v>error</v>
      </c>
      <c r="H17" s="223" t="str">
        <f>'Menu 1 - Duck'!H17</f>
        <v>error</v>
      </c>
      <c r="I17" s="236" t="str">
        <f>'Menu 1 - Duck'!I17</f>
        <v>error</v>
      </c>
      <c r="J17" s="223">
        <f t="shared" si="4"/>
        <v>0</v>
      </c>
      <c r="K17" s="237"/>
    </row>
    <row r="18" spans="1:11" ht="18.75" customHeight="1" x14ac:dyDescent="0.25">
      <c r="A18" s="13"/>
      <c r="B18" s="6"/>
      <c r="C18" s="6"/>
      <c r="D18" s="6"/>
      <c r="E18" s="6"/>
      <c r="F18" s="14">
        <f>SUM(H18/28.35)</f>
        <v>0</v>
      </c>
      <c r="G18" s="15" t="str">
        <f>G8</f>
        <v>OZ</v>
      </c>
      <c r="H18" s="16">
        <f>SUM(H8:H13)</f>
        <v>0</v>
      </c>
      <c r="I18" s="17" t="str">
        <f>I8</f>
        <v>G</v>
      </c>
      <c r="J18" s="18">
        <f>SUM(J8:J17)</f>
        <v>0</v>
      </c>
      <c r="K18" s="19" t="str">
        <f>K8</f>
        <v>KCAL</v>
      </c>
    </row>
    <row r="19" spans="1:11" ht="18.75" customHeight="1" x14ac:dyDescent="0.25">
      <c r="A19" s="13"/>
      <c r="B19" s="6"/>
      <c r="C19" s="6"/>
      <c r="D19" s="6"/>
      <c r="E19" s="6"/>
      <c r="F19" s="20"/>
      <c r="G19" s="21"/>
      <c r="H19" s="22"/>
      <c r="I19" s="23"/>
      <c r="J19" s="24"/>
      <c r="K19" s="25"/>
    </row>
    <row r="20" spans="1:11" ht="18.75" customHeight="1" x14ac:dyDescent="0.25">
      <c r="A20" s="148" t="s">
        <v>36</v>
      </c>
      <c r="B20" s="149"/>
      <c r="C20" s="149"/>
      <c r="D20" s="149"/>
      <c r="E20" s="20"/>
      <c r="F20" s="26" t="s">
        <v>37</v>
      </c>
      <c r="G20" s="26"/>
      <c r="H20" s="26"/>
      <c r="I20" s="26"/>
      <c r="J20" s="26"/>
      <c r="K20" s="26"/>
    </row>
    <row r="21" spans="1:11" ht="18.75" customHeight="1" x14ac:dyDescent="0.25">
      <c r="A21" s="13"/>
      <c r="B21" s="6"/>
      <c r="C21" s="6"/>
      <c r="D21" s="6"/>
      <c r="E21" s="6"/>
      <c r="F21" s="20"/>
      <c r="G21" s="21"/>
      <c r="H21" s="22"/>
      <c r="I21" s="23"/>
      <c r="J21" s="24"/>
      <c r="K21" s="25"/>
    </row>
    <row r="22" spans="1:11" ht="18.75" customHeight="1" x14ac:dyDescent="0.25">
      <c r="A22" s="13"/>
      <c r="B22" s="6"/>
      <c r="C22" s="6"/>
      <c r="D22" s="6"/>
      <c r="E22" s="6"/>
      <c r="F22" s="20"/>
      <c r="G22" s="21"/>
      <c r="H22" s="22"/>
      <c r="I22" s="23"/>
      <c r="J22" s="24"/>
      <c r="K22" s="25"/>
    </row>
    <row r="23" spans="1:11" ht="18.75" customHeight="1" x14ac:dyDescent="0.25">
      <c r="A23" s="13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ht="18.75" customHeight="1" x14ac:dyDescent="0.25">
      <c r="A24" s="13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ht="18.75" customHeight="1" x14ac:dyDescent="0.25">
      <c r="A25" s="13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ht="18.75" customHeight="1" x14ac:dyDescent="0.25">
      <c r="A26" s="13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ht="18.75" customHeight="1" x14ac:dyDescent="0.25">
      <c r="A27" s="13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ht="18.75" customHeight="1" x14ac:dyDescent="0.25">
      <c r="A28" s="13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ht="18.75" customHeight="1" x14ac:dyDescent="0.25">
      <c r="A29" s="13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ht="18.75" customHeight="1" x14ac:dyDescent="0.25">
      <c r="A30" s="13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ht="18.75" customHeight="1" x14ac:dyDescent="0.25">
      <c r="A31" s="27"/>
      <c r="B31" s="28" t="s">
        <v>38</v>
      </c>
      <c r="C31" s="29"/>
      <c r="D31" s="30">
        <v>0.17</v>
      </c>
      <c r="E31" s="31"/>
      <c r="F31" s="27"/>
      <c r="G31" s="32" t="s">
        <v>15</v>
      </c>
      <c r="H31" s="33"/>
      <c r="I31" s="34"/>
      <c r="J31" s="35">
        <f>SUM(H8*0.8)+(H9*0.4)+H10</f>
        <v>0</v>
      </c>
      <c r="K31" s="36" t="str">
        <f>I8</f>
        <v>G</v>
      </c>
    </row>
    <row r="32" spans="1:11" ht="18.75" customHeight="1" x14ac:dyDescent="0.25">
      <c r="A32" s="37"/>
      <c r="B32" s="38" t="s">
        <v>39</v>
      </c>
      <c r="C32" s="39"/>
      <c r="D32" s="40">
        <v>0.12</v>
      </c>
      <c r="E32" s="31"/>
      <c r="F32" s="37"/>
      <c r="G32" s="41" t="s">
        <v>27</v>
      </c>
      <c r="H32" s="42"/>
      <c r="I32" s="43"/>
      <c r="J32" s="44">
        <f>SUM(H8*0.1)+(H9*0.6)</f>
        <v>0</v>
      </c>
      <c r="K32" s="45" t="str">
        <f>I8</f>
        <v>G</v>
      </c>
    </row>
    <row r="33" spans="1:11" ht="18.75" customHeight="1" x14ac:dyDescent="0.25">
      <c r="A33" s="46"/>
      <c r="B33" s="38" t="s">
        <v>40</v>
      </c>
      <c r="C33" s="39"/>
      <c r="D33" s="40">
        <v>0</v>
      </c>
      <c r="E33" s="31"/>
      <c r="F33" s="46"/>
      <c r="G33" s="38" t="s">
        <v>16</v>
      </c>
      <c r="H33" s="42"/>
      <c r="I33" s="43"/>
      <c r="J33" s="24">
        <f>SUM(H8*0.1)+H11</f>
        <v>0</v>
      </c>
      <c r="K33" s="45" t="str">
        <f>I8</f>
        <v>G</v>
      </c>
    </row>
    <row r="34" spans="1:11" ht="18.75" customHeight="1" x14ac:dyDescent="0.25">
      <c r="A34" s="47"/>
      <c r="B34" s="38" t="s">
        <v>41</v>
      </c>
      <c r="C34" s="39"/>
      <c r="D34" s="40">
        <v>0.02</v>
      </c>
      <c r="E34" s="31"/>
      <c r="F34" s="47"/>
      <c r="G34" s="41" t="s">
        <v>30</v>
      </c>
      <c r="H34" s="42"/>
      <c r="I34" s="43"/>
      <c r="J34" s="44">
        <f>H13</f>
        <v>0</v>
      </c>
      <c r="K34" s="45" t="str">
        <f>I8</f>
        <v>G</v>
      </c>
    </row>
    <row r="35" spans="1:11" ht="18.75" customHeight="1" x14ac:dyDescent="0.25">
      <c r="A35" s="48"/>
      <c r="B35" s="38" t="s">
        <v>42</v>
      </c>
      <c r="C35" s="39"/>
      <c r="D35" s="40">
        <v>0.68</v>
      </c>
      <c r="E35" s="31"/>
      <c r="F35" s="48"/>
      <c r="G35" s="49" t="s">
        <v>17</v>
      </c>
      <c r="H35" s="50"/>
      <c r="I35" s="51"/>
      <c r="J35" s="61">
        <f>H12</f>
        <v>0</v>
      </c>
      <c r="K35" s="53" t="str">
        <f>I8</f>
        <v>G</v>
      </c>
    </row>
    <row r="36" spans="1:11" ht="18.75" customHeight="1" x14ac:dyDescent="0.25">
      <c r="A36" s="54"/>
      <c r="B36" s="55" t="s">
        <v>32</v>
      </c>
      <c r="C36" s="54"/>
      <c r="D36" s="56">
        <v>1880</v>
      </c>
      <c r="E36" s="57"/>
    </row>
  </sheetData>
  <mergeCells count="26">
    <mergeCell ref="C10:E10"/>
    <mergeCell ref="C11:E11"/>
    <mergeCell ref="C12:E12"/>
    <mergeCell ref="A1:B5"/>
    <mergeCell ref="C1:K1"/>
    <mergeCell ref="C2:H2"/>
    <mergeCell ref="C3:I3"/>
    <mergeCell ref="C4:I4"/>
    <mergeCell ref="J4:K4"/>
    <mergeCell ref="C5:I5"/>
    <mergeCell ref="A20:D20"/>
    <mergeCell ref="B7:E7"/>
    <mergeCell ref="F7:I7"/>
    <mergeCell ref="J7:K7"/>
    <mergeCell ref="G8:G13"/>
    <mergeCell ref="I8:I14"/>
    <mergeCell ref="K8:K17"/>
    <mergeCell ref="C14:E14"/>
    <mergeCell ref="C17:E17"/>
    <mergeCell ref="C13:E13"/>
    <mergeCell ref="A8:A17"/>
    <mergeCell ref="B15:B17"/>
    <mergeCell ref="C15:E15"/>
    <mergeCell ref="C16:E16"/>
    <mergeCell ref="C8:E8"/>
    <mergeCell ref="C9:E9"/>
  </mergeCells>
  <printOptions horizontalCentered="1" gridLines="1"/>
  <pageMargins left="0.7" right="0.7" top="0.75" bottom="0.75" header="0" footer="0"/>
  <pageSetup fitToHeight="0" pageOrder="overThenDown" orientation="portrait" cellComments="atEnd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F7E15E60-E0C8-4823-8938-F878D0CA7774}">
            <xm:f>'Menu 1 - Duck'!$K$3="lb"</xm:f>
            <x14:dxf>
              <font>
                <b/>
                <i val="0"/>
                <color theme="1"/>
              </font>
            </x14:dxf>
          </x14:cfRule>
          <xm:sqref>F8:G17</xm:sqref>
        </x14:conditionalFormatting>
        <x14:conditionalFormatting xmlns:xm="http://schemas.microsoft.com/office/excel/2006/main">
          <x14:cfRule type="expression" priority="3" id="{78D80B3E-E094-4F11-B9D3-4AE46403C565}">
            <xm:f>'Menu 1 - Duck'!$K$3="kg"</xm:f>
            <x14:dxf>
              <font>
                <b/>
                <i val="0"/>
                <color theme="1"/>
              </font>
            </x14:dxf>
          </x14:cfRule>
          <xm:sqref>H8:I17</xm:sqref>
        </x14:conditionalFormatting>
        <x14:conditionalFormatting xmlns:xm="http://schemas.microsoft.com/office/excel/2006/main">
          <x14:cfRule type="expression" priority="2" id="{B0C59DF0-A7C9-4D0B-A43B-FF198CA2734A}">
            <xm:f>'Menu 1 - Duck'!$K$3="kg"</xm:f>
            <x14:dxf>
              <font>
                <b/>
                <i val="0"/>
                <color theme="0"/>
              </font>
              <fill>
                <patternFill>
                  <bgColor theme="0" tint="-0.24994659260841701"/>
                </patternFill>
              </fill>
            </x14:dxf>
          </x14:cfRule>
          <xm:sqref>H18:I18</xm:sqref>
        </x14:conditionalFormatting>
        <x14:conditionalFormatting xmlns:xm="http://schemas.microsoft.com/office/excel/2006/main">
          <x14:cfRule type="expression" priority="1" id="{7EE6D88E-37AD-4D1F-B6A5-20ADF7FE50F5}">
            <xm:f>'Menu 1 - Duck'!$K$3="lb"</xm:f>
            <x14:dxf>
              <font>
                <b/>
                <i val="0"/>
                <color theme="0"/>
              </font>
              <fill>
                <patternFill>
                  <bgColor theme="0" tint="-0.24994659260841701"/>
                </patternFill>
              </fill>
            </x14:dxf>
          </x14:cfRule>
          <xm:sqref>F18:G18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K37"/>
  <sheetViews>
    <sheetView showGridLines="0" zoomScale="80" zoomScaleNormal="80" workbookViewId="0">
      <selection sqref="A1:B5"/>
    </sheetView>
  </sheetViews>
  <sheetFormatPr defaultColWidth="14.44140625" defaultRowHeight="15" customHeight="1" x14ac:dyDescent="0.25"/>
  <cols>
    <col min="1" max="1" width="6.88671875" customWidth="1"/>
    <col min="2" max="2" width="19" customWidth="1"/>
    <col min="3" max="3" width="7.109375" customWidth="1"/>
    <col min="4" max="4" width="17.33203125" customWidth="1"/>
    <col min="5" max="5" width="25.88671875" customWidth="1"/>
    <col min="6" max="11" width="7.6640625" customWidth="1"/>
  </cols>
  <sheetData>
    <row r="1" spans="1:11" ht="30" customHeight="1" x14ac:dyDescent="0.25">
      <c r="A1" s="171"/>
      <c r="B1" s="146"/>
      <c r="C1" s="172" t="s">
        <v>43</v>
      </c>
      <c r="D1" s="173"/>
      <c r="E1" s="173"/>
      <c r="F1" s="173"/>
      <c r="G1" s="173"/>
      <c r="H1" s="173"/>
      <c r="I1" s="173"/>
      <c r="J1" s="173"/>
      <c r="K1" s="173"/>
    </row>
    <row r="2" spans="1:11" ht="18.75" customHeight="1" x14ac:dyDescent="0.25">
      <c r="A2" s="146"/>
      <c r="B2" s="146"/>
      <c r="C2" s="174" t="s">
        <v>1</v>
      </c>
      <c r="D2" s="173"/>
      <c r="E2" s="173"/>
      <c r="F2" s="173"/>
      <c r="G2" s="173"/>
      <c r="H2" s="173"/>
      <c r="I2" s="58"/>
      <c r="J2" s="59"/>
      <c r="K2" s="59" t="str">
        <f>'Menu 2 - Beef'!K2</f>
        <v>Puppy Development</v>
      </c>
    </row>
    <row r="3" spans="1:11" ht="18.75" customHeight="1" x14ac:dyDescent="0.25">
      <c r="A3" s="146"/>
      <c r="B3" s="146"/>
      <c r="C3" s="176" t="s">
        <v>3</v>
      </c>
      <c r="D3" s="165"/>
      <c r="E3" s="165"/>
      <c r="F3" s="165"/>
      <c r="G3" s="165"/>
      <c r="H3" s="165"/>
      <c r="I3" s="165"/>
      <c r="J3" s="59">
        <f>'Menu 1 - Duck'!J3</f>
        <v>0</v>
      </c>
      <c r="K3" s="60" t="str">
        <f>'Menu 1 - Duck'!K3</f>
        <v>LB</v>
      </c>
    </row>
    <row r="4" spans="1:11" ht="18.75" customHeight="1" x14ac:dyDescent="0.25">
      <c r="A4" s="146"/>
      <c r="B4" s="146"/>
      <c r="C4" s="176" t="s">
        <v>5</v>
      </c>
      <c r="D4" s="165"/>
      <c r="E4" s="165"/>
      <c r="F4" s="165"/>
      <c r="G4" s="165"/>
      <c r="H4" s="165"/>
      <c r="I4" s="165"/>
      <c r="J4" s="184">
        <f>'Menu 1 - Duck'!J4</f>
        <v>0</v>
      </c>
      <c r="K4" s="165"/>
    </row>
    <row r="5" spans="1:11" ht="18.75" hidden="1" customHeight="1" x14ac:dyDescent="0.25">
      <c r="A5" s="146"/>
      <c r="B5" s="146"/>
      <c r="C5" s="178" t="str">
        <f>'Menu 1 - Duck'!C5</f>
        <v>Daily Intake by Weight</v>
      </c>
      <c r="D5" s="154"/>
      <c r="E5" s="154"/>
      <c r="F5" s="154"/>
      <c r="G5" s="154"/>
      <c r="H5" s="154"/>
      <c r="I5" s="154"/>
      <c r="J5" s="3">
        <f>'Menu 1 - Duck'!J5</f>
        <v>0</v>
      </c>
      <c r="K5" s="4" t="str">
        <f>'Menu 1 - Duck'!K5</f>
        <v>OZ</v>
      </c>
    </row>
    <row r="6" spans="1:11" ht="18.75" customHeight="1" x14ac:dyDescent="0.25">
      <c r="A6" s="5"/>
      <c r="B6" s="5"/>
      <c r="C6" s="6"/>
      <c r="D6" s="6"/>
      <c r="E6" s="6"/>
      <c r="F6" s="1"/>
      <c r="G6" s="1"/>
      <c r="H6" s="62"/>
      <c r="I6" s="5"/>
      <c r="J6" s="8"/>
      <c r="K6" s="1"/>
    </row>
    <row r="7" spans="1:11" ht="18.75" customHeight="1" x14ac:dyDescent="0.25">
      <c r="A7" s="9" t="s">
        <v>7</v>
      </c>
      <c r="B7" s="167" t="s">
        <v>8</v>
      </c>
      <c r="C7" s="146"/>
      <c r="D7" s="146"/>
      <c r="E7" s="168"/>
      <c r="F7" s="169" t="s">
        <v>9</v>
      </c>
      <c r="G7" s="146"/>
      <c r="H7" s="146"/>
      <c r="I7" s="168"/>
      <c r="J7" s="157" t="s">
        <v>10</v>
      </c>
      <c r="K7" s="146"/>
    </row>
    <row r="8" spans="1:11" ht="18.75" customHeight="1" x14ac:dyDescent="0.25">
      <c r="A8" s="150">
        <v>3</v>
      </c>
      <c r="B8" s="10" t="s">
        <v>11</v>
      </c>
      <c r="C8" s="161" t="str">
        <f>'Shopping List'!A10</f>
        <v>Lamb Grind</v>
      </c>
      <c r="D8" s="162"/>
      <c r="E8" s="163"/>
      <c r="F8" s="224">
        <f t="shared" ref="F8:F13" si="0">SUM(H8/28.35)</f>
        <v>0</v>
      </c>
      <c r="G8" s="225" t="s">
        <v>12</v>
      </c>
      <c r="H8" s="208">
        <f>IF(K3="LB",SUM((212.5)*(J5/20.46)),SUM((212.5)*(J5/580.03)))</f>
        <v>0</v>
      </c>
      <c r="I8" s="226" t="s">
        <v>13</v>
      </c>
      <c r="J8" s="243">
        <f>SUM((D37/1000)*H8)</f>
        <v>0</v>
      </c>
      <c r="K8" s="244" t="s">
        <v>14</v>
      </c>
    </row>
    <row r="9" spans="1:11" ht="18.75" customHeight="1" x14ac:dyDescent="0.25">
      <c r="A9" s="151"/>
      <c r="B9" s="63" t="s">
        <v>34</v>
      </c>
      <c r="C9" s="185" t="str">
        <f>'Shopping List'!A14</f>
        <v>Chicken Ribcages, whole or ground; or Duck Frames</v>
      </c>
      <c r="D9" s="173"/>
      <c r="E9" s="186"/>
      <c r="F9" s="228">
        <f t="shared" si="0"/>
        <v>0</v>
      </c>
      <c r="G9" s="229"/>
      <c r="H9" s="212">
        <f>IF(K3="LB",SUM((90)*(J5/20.46)),SUM((90)*(J5/580.03)))</f>
        <v>0</v>
      </c>
      <c r="I9" s="229"/>
      <c r="J9" s="245">
        <f>H9*2.02</f>
        <v>0</v>
      </c>
      <c r="K9" s="246"/>
    </row>
    <row r="10" spans="1:11" ht="18.75" customHeight="1" x14ac:dyDescent="0.25">
      <c r="A10" s="151"/>
      <c r="B10" s="12" t="s">
        <v>15</v>
      </c>
      <c r="C10" s="164" t="str">
        <f>'Shopping List'!A11</f>
        <v>Green Tripe, whole or ground</v>
      </c>
      <c r="D10" s="165"/>
      <c r="E10" s="166"/>
      <c r="F10" s="238">
        <f t="shared" si="0"/>
        <v>0</v>
      </c>
      <c r="G10" s="229"/>
      <c r="H10" s="212">
        <f>'Menu 1 - Duck'!H9</f>
        <v>0</v>
      </c>
      <c r="I10" s="229"/>
      <c r="J10" s="247">
        <f>H10*2.25</f>
        <v>0</v>
      </c>
      <c r="K10" s="246"/>
    </row>
    <row r="11" spans="1:11" ht="18.75" customHeight="1" x14ac:dyDescent="0.25">
      <c r="A11" s="151"/>
      <c r="B11" s="12" t="s">
        <v>16</v>
      </c>
      <c r="C11" s="164" t="str">
        <f>'Shopping List'!A15</f>
        <v>Monster Mash</v>
      </c>
      <c r="D11" s="165"/>
      <c r="E11" s="166"/>
      <c r="F11" s="238">
        <f t="shared" si="0"/>
        <v>0</v>
      </c>
      <c r="G11" s="229"/>
      <c r="H11" s="212">
        <f>'Menu 1 - Duck'!H11</f>
        <v>0</v>
      </c>
      <c r="I11" s="229"/>
      <c r="J11" s="247">
        <f>SUM( H11*1.185)</f>
        <v>0</v>
      </c>
      <c r="K11" s="246"/>
    </row>
    <row r="12" spans="1:11" ht="18.75" customHeight="1" x14ac:dyDescent="0.25">
      <c r="A12" s="151"/>
      <c r="B12" s="12" t="s">
        <v>17</v>
      </c>
      <c r="C12" s="164" t="str">
        <f>'Shopping List'!A18</f>
        <v>Thread Herring, whole or ground</v>
      </c>
      <c r="D12" s="165"/>
      <c r="E12" s="166"/>
      <c r="F12" s="228">
        <f t="shared" si="0"/>
        <v>0</v>
      </c>
      <c r="G12" s="229"/>
      <c r="H12" s="212">
        <f>'Menu 1 - Duck'!H12</f>
        <v>0</v>
      </c>
      <c r="I12" s="229"/>
      <c r="J12" s="247">
        <f>H12*2.05</f>
        <v>0</v>
      </c>
      <c r="K12" s="246"/>
    </row>
    <row r="13" spans="1:11" ht="18.75" customHeight="1" x14ac:dyDescent="0.25">
      <c r="A13" s="151"/>
      <c r="B13" s="12" t="s">
        <v>18</v>
      </c>
      <c r="C13" s="179" t="str">
        <f>'Shopping List'!A21</f>
        <v>Butternut Squash, fully cooked</v>
      </c>
      <c r="D13" s="165"/>
      <c r="E13" s="166"/>
      <c r="F13" s="228">
        <f t="shared" si="0"/>
        <v>0</v>
      </c>
      <c r="G13" s="231"/>
      <c r="H13" s="212">
        <f>'Menu 1 - Duck'!H13</f>
        <v>0</v>
      </c>
      <c r="I13" s="229"/>
      <c r="J13" s="247">
        <f>H13*0.4</f>
        <v>0</v>
      </c>
      <c r="K13" s="246"/>
    </row>
    <row r="14" spans="1:11" ht="18.75" customHeight="1" x14ac:dyDescent="0.25">
      <c r="A14" s="151"/>
      <c r="B14" s="11" t="s">
        <v>19</v>
      </c>
      <c r="C14" s="179" t="str">
        <f>'Shopping List'!A30</f>
        <v>Hempseed Oil</v>
      </c>
      <c r="D14" s="165"/>
      <c r="E14" s="166"/>
      <c r="F14" s="228">
        <f>SUM(H14/5.7)</f>
        <v>0</v>
      </c>
      <c r="G14" s="242" t="s">
        <v>20</v>
      </c>
      <c r="H14" s="212">
        <f>IF(K3="LB",SUM((3.75)*(J5/20.46)),SUM((3.75)*(J5/580.03)))</f>
        <v>0</v>
      </c>
      <c r="I14" s="229"/>
      <c r="J14" s="247">
        <f>SUM(H14)*8.666</f>
        <v>0</v>
      </c>
      <c r="K14" s="246"/>
    </row>
    <row r="15" spans="1:11" ht="18.75" customHeight="1" x14ac:dyDescent="0.25">
      <c r="A15" s="151"/>
      <c r="B15" s="11" t="s">
        <v>44</v>
      </c>
      <c r="C15" s="179" t="str">
        <f>'Shopping List'!A22</f>
        <v>Large Chicken Egg, no shell</v>
      </c>
      <c r="D15" s="165"/>
      <c r="E15" s="166"/>
      <c r="F15" s="228">
        <f>H15/50</f>
        <v>0</v>
      </c>
      <c r="G15" s="242" t="s">
        <v>45</v>
      </c>
      <c r="H15" s="212">
        <f>IF(K3="LB",SUM((50)*(J5/20.46)),SUM((50)*(J5/580.03)))</f>
        <v>0</v>
      </c>
      <c r="I15" s="231"/>
      <c r="J15" s="247">
        <f>F15*71.5</f>
        <v>0</v>
      </c>
      <c r="K15" s="246"/>
    </row>
    <row r="16" spans="1:11" ht="18.75" customHeight="1" x14ac:dyDescent="0.25">
      <c r="A16" s="151"/>
      <c r="B16" s="137" t="s">
        <v>21</v>
      </c>
      <c r="C16" s="179">
        <f>'Menu 1 - Duck'!C15</f>
        <v>0</v>
      </c>
      <c r="D16" s="165"/>
      <c r="E16" s="166"/>
      <c r="F16" s="228" t="str">
        <f t="shared" ref="F16:G16" si="1">H16</f>
        <v>error</v>
      </c>
      <c r="G16" s="242" t="str">
        <f t="shared" si="1"/>
        <v>error</v>
      </c>
      <c r="H16" s="212" t="str">
        <f>'Menu 1 - Duck'!H15</f>
        <v>error</v>
      </c>
      <c r="I16" s="233" t="str">
        <f>'Menu 1 - Duck'!I15</f>
        <v>error</v>
      </c>
      <c r="J16" s="247">
        <v>0</v>
      </c>
      <c r="K16" s="246"/>
    </row>
    <row r="17" spans="1:11" ht="18.75" customHeight="1" x14ac:dyDescent="0.25">
      <c r="A17" s="151"/>
      <c r="B17" s="170"/>
      <c r="C17" s="179" t="str">
        <f>'Shopping List'!A33</f>
        <v>NOW Vitamin E (31.6IU/drop)</v>
      </c>
      <c r="D17" s="165"/>
      <c r="E17" s="166"/>
      <c r="F17" s="228">
        <f t="shared" ref="F17:F18" si="2">H17</f>
        <v>0</v>
      </c>
      <c r="G17" s="232" t="s">
        <v>22</v>
      </c>
      <c r="H17" s="212">
        <f>'Menu 1 - Duck'!F16</f>
        <v>0</v>
      </c>
      <c r="I17" s="234" t="str">
        <f>G17</f>
        <v>DROP</v>
      </c>
      <c r="J17" s="247">
        <f t="shared" ref="J17:J18" si="3">SUM(0)</f>
        <v>0</v>
      </c>
      <c r="K17" s="246"/>
    </row>
    <row r="18" spans="1:11" ht="18.75" customHeight="1" x14ac:dyDescent="0.25">
      <c r="A18" s="152"/>
      <c r="B18" s="183"/>
      <c r="C18" s="180">
        <f>'Menu 1 - Duck'!C17</f>
        <v>0</v>
      </c>
      <c r="D18" s="181"/>
      <c r="E18" s="182"/>
      <c r="F18" s="239" t="str">
        <f t="shared" si="2"/>
        <v>error</v>
      </c>
      <c r="G18" s="235" t="str">
        <f>I18</f>
        <v>error</v>
      </c>
      <c r="H18" s="223" t="str">
        <f>'Menu 1 - Duck'!H17</f>
        <v>error</v>
      </c>
      <c r="I18" s="236" t="str">
        <f>'Menu 1 - Duck'!I17</f>
        <v>error</v>
      </c>
      <c r="J18" s="248">
        <f t="shared" si="3"/>
        <v>0</v>
      </c>
      <c r="K18" s="249"/>
    </row>
    <row r="19" spans="1:11" ht="18.75" customHeight="1" x14ac:dyDescent="0.25">
      <c r="A19" s="13"/>
      <c r="B19" s="6"/>
      <c r="C19" s="6"/>
      <c r="D19" s="6"/>
      <c r="E19" s="6"/>
      <c r="F19" s="202">
        <f>SUM(H19/28.35)</f>
        <v>0</v>
      </c>
      <c r="G19" s="203" t="str">
        <f>G8</f>
        <v>OZ</v>
      </c>
      <c r="H19" s="240">
        <f>SUM(H8:H13)+H15</f>
        <v>0</v>
      </c>
      <c r="I19" s="241" t="str">
        <f>I8</f>
        <v>G</v>
      </c>
      <c r="J19" s="18">
        <f>SUM(J8:J18)</f>
        <v>0</v>
      </c>
      <c r="K19" s="19" t="str">
        <f>K8</f>
        <v>KCAL</v>
      </c>
    </row>
    <row r="20" spans="1:11" ht="18.75" customHeight="1" x14ac:dyDescent="0.25">
      <c r="A20" s="13"/>
      <c r="B20" s="6"/>
      <c r="C20" s="6"/>
      <c r="D20" s="6"/>
      <c r="E20" s="6"/>
      <c r="F20" s="20"/>
      <c r="G20" s="21"/>
      <c r="H20" s="22"/>
      <c r="I20" s="23"/>
      <c r="J20" s="24"/>
      <c r="K20" s="25"/>
    </row>
    <row r="21" spans="1:11" ht="18.75" customHeight="1" x14ac:dyDescent="0.25">
      <c r="A21" s="148" t="s">
        <v>46</v>
      </c>
      <c r="B21" s="149"/>
      <c r="C21" s="149"/>
      <c r="D21" s="149"/>
      <c r="E21" s="20"/>
      <c r="F21" s="26" t="s">
        <v>47</v>
      </c>
      <c r="G21" s="26"/>
      <c r="H21" s="26"/>
      <c r="I21" s="26"/>
      <c r="J21" s="26"/>
      <c r="K21" s="26"/>
    </row>
    <row r="22" spans="1:11" ht="18.75" customHeight="1" x14ac:dyDescent="0.25">
      <c r="A22" s="13"/>
      <c r="B22" s="6"/>
      <c r="C22" s="6"/>
      <c r="D22" s="6"/>
      <c r="E22" s="6"/>
      <c r="F22" s="20"/>
      <c r="G22" s="21"/>
      <c r="H22" s="22"/>
      <c r="I22" s="23"/>
      <c r="J22" s="24"/>
      <c r="K22" s="25"/>
    </row>
    <row r="23" spans="1:11" ht="18.75" customHeight="1" x14ac:dyDescent="0.25">
      <c r="A23" s="13"/>
      <c r="B23" s="6"/>
      <c r="C23" s="6"/>
      <c r="D23" s="6"/>
      <c r="E23" s="6"/>
      <c r="F23" s="20"/>
      <c r="G23" s="21"/>
      <c r="H23" s="22"/>
      <c r="I23" s="23"/>
      <c r="J23" s="24"/>
      <c r="K23" s="25"/>
    </row>
    <row r="24" spans="1:11" ht="18.75" customHeight="1" x14ac:dyDescent="0.25">
      <c r="A24" s="13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ht="18.75" customHeight="1" x14ac:dyDescent="0.25">
      <c r="A25" s="13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ht="18.75" customHeight="1" x14ac:dyDescent="0.25">
      <c r="A26" s="13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ht="18.75" customHeight="1" x14ac:dyDescent="0.25">
      <c r="A27" s="13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ht="18.75" customHeight="1" x14ac:dyDescent="0.25">
      <c r="A28" s="13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ht="18.75" customHeight="1" x14ac:dyDescent="0.25">
      <c r="A29" s="13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ht="18.75" customHeight="1" x14ac:dyDescent="0.25">
      <c r="A30" s="13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ht="18.75" customHeight="1" x14ac:dyDescent="0.25">
      <c r="A31" s="13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ht="18.75" customHeight="1" x14ac:dyDescent="0.25">
      <c r="A32" s="27"/>
      <c r="B32" s="28" t="s">
        <v>48</v>
      </c>
      <c r="C32" s="29"/>
      <c r="D32" s="30">
        <v>0.19</v>
      </c>
      <c r="E32" s="31"/>
      <c r="F32" s="27"/>
      <c r="G32" s="32" t="s">
        <v>15</v>
      </c>
      <c r="H32" s="33"/>
      <c r="I32" s="34"/>
      <c r="J32" s="35">
        <f>SUM(H8*0.8)+(H9*0.2)+H10+H15</f>
        <v>0</v>
      </c>
      <c r="K32" s="36" t="str">
        <f>I8</f>
        <v>G</v>
      </c>
    </row>
    <row r="33" spans="1:11" ht="18.75" customHeight="1" x14ac:dyDescent="0.25">
      <c r="A33" s="37"/>
      <c r="B33" s="38" t="s">
        <v>49</v>
      </c>
      <c r="C33" s="39"/>
      <c r="D33" s="40">
        <v>0.09</v>
      </c>
      <c r="E33" s="31"/>
      <c r="F33" s="37"/>
      <c r="G33" s="64" t="s">
        <v>27</v>
      </c>
      <c r="H33" s="65"/>
      <c r="I33" s="65"/>
      <c r="J33" s="24">
        <f>SUM(H9*0.8)+( H8*0.1)</f>
        <v>0</v>
      </c>
      <c r="K33" s="45" t="str">
        <f>I8</f>
        <v>G</v>
      </c>
    </row>
    <row r="34" spans="1:11" ht="18.75" customHeight="1" x14ac:dyDescent="0.25">
      <c r="A34" s="46"/>
      <c r="B34" s="38" t="s">
        <v>50</v>
      </c>
      <c r="C34" s="39"/>
      <c r="D34" s="40">
        <v>0</v>
      </c>
      <c r="E34" s="31"/>
      <c r="F34" s="46"/>
      <c r="G34" s="41" t="s">
        <v>16</v>
      </c>
      <c r="H34" s="42"/>
      <c r="I34" s="43"/>
      <c r="J34" s="44">
        <f>SUM(H8*0.1)+H11</f>
        <v>0</v>
      </c>
      <c r="K34" s="64" t="s">
        <v>13</v>
      </c>
    </row>
    <row r="35" spans="1:11" ht="18.75" customHeight="1" x14ac:dyDescent="0.25">
      <c r="A35" s="47"/>
      <c r="B35" s="38" t="s">
        <v>51</v>
      </c>
      <c r="C35" s="39"/>
      <c r="D35" s="40">
        <v>0.03</v>
      </c>
      <c r="E35" s="31"/>
      <c r="F35" s="47"/>
      <c r="G35" s="38" t="s">
        <v>30</v>
      </c>
      <c r="H35" s="42"/>
      <c r="I35" s="43"/>
      <c r="J35" s="44">
        <f>H13</f>
        <v>0</v>
      </c>
      <c r="K35" s="45" t="str">
        <f>I8</f>
        <v>G</v>
      </c>
    </row>
    <row r="36" spans="1:11" ht="18.75" customHeight="1" x14ac:dyDescent="0.25">
      <c r="A36" s="48"/>
      <c r="B36" s="38" t="s">
        <v>52</v>
      </c>
      <c r="C36" s="39"/>
      <c r="D36" s="40">
        <v>0.7</v>
      </c>
      <c r="E36" s="31"/>
      <c r="F36" s="48"/>
      <c r="G36" s="49" t="s">
        <v>17</v>
      </c>
      <c r="H36" s="50"/>
      <c r="I36" s="51"/>
      <c r="J36" s="52">
        <f>H12</f>
        <v>0</v>
      </c>
      <c r="K36" s="53" t="str">
        <f>I8</f>
        <v>G</v>
      </c>
    </row>
    <row r="37" spans="1:11" ht="18.75" customHeight="1" x14ac:dyDescent="0.25">
      <c r="A37" s="54"/>
      <c r="B37" s="55" t="s">
        <v>32</v>
      </c>
      <c r="C37" s="54"/>
      <c r="D37" s="56">
        <v>1530</v>
      </c>
      <c r="E37" s="57"/>
    </row>
  </sheetData>
  <mergeCells count="27">
    <mergeCell ref="C9:E9"/>
    <mergeCell ref="C10:E10"/>
    <mergeCell ref="C11:E11"/>
    <mergeCell ref="C12:E12"/>
    <mergeCell ref="A1:B5"/>
    <mergeCell ref="C1:K1"/>
    <mergeCell ref="C2:H2"/>
    <mergeCell ref="C3:I3"/>
    <mergeCell ref="C4:I4"/>
    <mergeCell ref="J4:K4"/>
    <mergeCell ref="C5:I5"/>
    <mergeCell ref="A21:D21"/>
    <mergeCell ref="B7:E7"/>
    <mergeCell ref="F7:I7"/>
    <mergeCell ref="J7:K7"/>
    <mergeCell ref="A8:A18"/>
    <mergeCell ref="G8:G13"/>
    <mergeCell ref="I8:I15"/>
    <mergeCell ref="K8:K18"/>
    <mergeCell ref="C13:E13"/>
    <mergeCell ref="C14:E14"/>
    <mergeCell ref="C15:E15"/>
    <mergeCell ref="B16:B18"/>
    <mergeCell ref="C16:E16"/>
    <mergeCell ref="C17:E17"/>
    <mergeCell ref="C18:E18"/>
    <mergeCell ref="C8:E8"/>
  </mergeCells>
  <printOptions horizontalCentered="1" gridLines="1"/>
  <pageMargins left="0.7" right="0.7" top="0.75" bottom="0.75" header="0" footer="0"/>
  <pageSetup fitToHeight="0" pageOrder="overThenDown" orientation="portrait" cellComments="atEnd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ACB7B86B-D2BE-4B7B-83F4-1701682D7F86}">
            <xm:f>'Menu 1 - Duck'!$K$3="lb"</xm:f>
            <x14:dxf>
              <font>
                <b/>
                <i val="0"/>
                <color theme="1"/>
              </font>
            </x14:dxf>
          </x14:cfRule>
          <xm:sqref>F8:G18</xm:sqref>
        </x14:conditionalFormatting>
        <x14:conditionalFormatting xmlns:xm="http://schemas.microsoft.com/office/excel/2006/main">
          <x14:cfRule type="expression" priority="3" id="{07DB567E-24EB-4A06-A07B-EB00F514EA8B}">
            <xm:f>'Menu 1 - Duck'!$K$3="kg"</xm:f>
            <x14:dxf>
              <font>
                <b/>
                <i val="0"/>
                <color theme="1"/>
              </font>
            </x14:dxf>
          </x14:cfRule>
          <xm:sqref>H8:I18</xm:sqref>
        </x14:conditionalFormatting>
        <x14:conditionalFormatting xmlns:xm="http://schemas.microsoft.com/office/excel/2006/main">
          <x14:cfRule type="expression" priority="2" id="{809CEF30-B178-46EF-9AD8-E0082459338A}">
            <xm:f>'Menu 1 - Duck'!$K$3="kg"</xm:f>
            <x14:dxf>
              <font>
                <b/>
                <i val="0"/>
                <color theme="0"/>
              </font>
              <fill>
                <patternFill>
                  <bgColor theme="0" tint="-0.24994659260841701"/>
                </patternFill>
              </fill>
            </x14:dxf>
          </x14:cfRule>
          <xm:sqref>H19:I19</xm:sqref>
        </x14:conditionalFormatting>
        <x14:conditionalFormatting xmlns:xm="http://schemas.microsoft.com/office/excel/2006/main">
          <x14:cfRule type="expression" priority="1" id="{D3A56DC3-4BDC-45EB-976D-35FEC6449D76}">
            <xm:f>'Menu 1 - Duck'!$K$3="lb"</xm:f>
            <x14:dxf>
              <font>
                <b/>
                <i val="0"/>
                <color theme="0"/>
              </font>
              <fill>
                <patternFill>
                  <bgColor theme="0" tint="-0.24994659260841701"/>
                </patternFill>
              </fill>
            </x14:dxf>
          </x14:cfRule>
          <xm:sqref>F19:G19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H36"/>
  <sheetViews>
    <sheetView showGridLines="0" workbookViewId="0"/>
  </sheetViews>
  <sheetFormatPr defaultColWidth="14.44140625" defaultRowHeight="15" customHeight="1" x14ac:dyDescent="0.25"/>
  <cols>
    <col min="1" max="1" width="45.88671875" customWidth="1"/>
    <col min="2" max="2" width="8.88671875" customWidth="1"/>
    <col min="3" max="3" width="9.109375" customWidth="1"/>
    <col min="4" max="4" width="13" customWidth="1"/>
    <col min="5" max="5" width="8.5546875" customWidth="1"/>
    <col min="6" max="6" width="2.109375" customWidth="1"/>
    <col min="7" max="7" width="8.44140625" customWidth="1"/>
    <col min="8" max="8" width="32.6640625" customWidth="1"/>
  </cols>
  <sheetData>
    <row r="1" spans="1:8" ht="30" customHeight="1" x14ac:dyDescent="0.25">
      <c r="A1" s="66" t="s">
        <v>53</v>
      </c>
      <c r="B1" s="67"/>
      <c r="C1" s="68"/>
      <c r="D1" s="68"/>
      <c r="E1" s="68"/>
      <c r="F1" s="68"/>
      <c r="G1" s="68"/>
      <c r="H1" s="194"/>
    </row>
    <row r="2" spans="1:8" ht="18.75" customHeight="1" x14ac:dyDescent="0.25">
      <c r="A2" s="69" t="s">
        <v>54</v>
      </c>
      <c r="B2" s="70">
        <v>3</v>
      </c>
      <c r="C2" s="6"/>
      <c r="D2" s="6"/>
      <c r="E2" s="6"/>
      <c r="F2" s="1"/>
      <c r="G2" s="1"/>
      <c r="H2" s="146"/>
    </row>
    <row r="3" spans="1:8" ht="18.75" customHeight="1" x14ac:dyDescent="0.25">
      <c r="A3" s="69" t="s">
        <v>55</v>
      </c>
      <c r="B3" s="70">
        <v>30</v>
      </c>
      <c r="C3" s="6"/>
      <c r="D3" s="6"/>
      <c r="E3" s="6"/>
      <c r="F3" s="1"/>
      <c r="G3" s="1"/>
      <c r="H3" s="146"/>
    </row>
    <row r="4" spans="1:8" ht="18.75" customHeight="1" x14ac:dyDescent="0.25">
      <c r="A4" s="71" t="s">
        <v>56</v>
      </c>
      <c r="B4" s="72">
        <f>SUM(B35+D23)</f>
        <v>0</v>
      </c>
      <c r="C4" s="6"/>
      <c r="D4" s="6"/>
      <c r="E4" s="6"/>
      <c r="F4" s="1"/>
      <c r="G4" s="1"/>
      <c r="H4" s="146"/>
    </row>
    <row r="5" spans="1:8" ht="18.75" customHeight="1" x14ac:dyDescent="0.25">
      <c r="A5" s="6"/>
      <c r="B5" s="73"/>
      <c r="C5" s="73"/>
      <c r="D5" s="73"/>
      <c r="E5" s="6"/>
      <c r="F5" s="6"/>
      <c r="G5" s="6"/>
      <c r="H5" s="6"/>
    </row>
    <row r="6" spans="1:8" ht="18.75" customHeight="1" x14ac:dyDescent="0.25">
      <c r="A6" s="6"/>
      <c r="B6" s="195" t="s">
        <v>57</v>
      </c>
      <c r="C6" s="191"/>
      <c r="D6" s="192"/>
      <c r="E6" s="6"/>
      <c r="F6" s="6"/>
      <c r="G6" s="6"/>
      <c r="H6" s="6"/>
    </row>
    <row r="7" spans="1:8" ht="18.75" customHeight="1" x14ac:dyDescent="0.25">
      <c r="A7" s="74" t="s">
        <v>8</v>
      </c>
      <c r="B7" s="187" t="str">
        <f>CONCATENATE("Amount needed for ", SUM(B3), " days")</f>
        <v>Amount needed for 30 days</v>
      </c>
      <c r="C7" s="188"/>
      <c r="D7" s="189"/>
      <c r="E7" s="75" t="s">
        <v>58</v>
      </c>
      <c r="F7" s="76" t="s">
        <v>59</v>
      </c>
      <c r="G7" s="77" t="str">
        <f>'Menu 1 - Duck'!K3</f>
        <v>LB</v>
      </c>
      <c r="H7" s="78" t="s">
        <v>60</v>
      </c>
    </row>
    <row r="8" spans="1:8" ht="18.75" customHeight="1" x14ac:dyDescent="0.25">
      <c r="A8" s="79" t="s">
        <v>61</v>
      </c>
      <c r="B8" s="80">
        <f>IF( G7="LB",SUM(( 'Menu 1 - Duck'!F8)*(B3/B2))/16,SUM(( 'Menu 1 - Duck'!H8)*(B3/B2))/1000)</f>
        <v>0</v>
      </c>
      <c r="C8" s="81" t="str">
        <f t="shared" ref="C8:C21" si="0">G8</f>
        <v>LB</v>
      </c>
      <c r="D8" s="82">
        <f t="shared" ref="D8:D21" si="1">SUM(B8*E8)</f>
        <v>0</v>
      </c>
      <c r="E8" s="83">
        <f>IF('Menu 1 - Duck'!K3="lb",SUM(15/2.5),(SUM(15/1.13398)))</f>
        <v>6</v>
      </c>
      <c r="F8" s="84" t="s">
        <v>59</v>
      </c>
      <c r="G8" s="85" t="str">
        <f>G7</f>
        <v>LB</v>
      </c>
      <c r="H8" s="83" t="s">
        <v>62</v>
      </c>
    </row>
    <row r="9" spans="1:8" ht="18.75" customHeight="1" x14ac:dyDescent="0.25">
      <c r="A9" s="86" t="s">
        <v>63</v>
      </c>
      <c r="B9" s="87">
        <f>IF( G7="LB",SUM(( 'Menu 2 - Beef'!F8)*(B3/B2))/16,SUM(( 'Menu 2 - Beef'!H8)*(B3/B2))/1000)</f>
        <v>0</v>
      </c>
      <c r="C9" s="88" t="str">
        <f t="shared" si="0"/>
        <v>LB</v>
      </c>
      <c r="D9" s="89">
        <f t="shared" si="1"/>
        <v>0</v>
      </c>
      <c r="E9" s="90">
        <f>IF('Menu 1 - Duck'!K3="lb",SUM(15/2.5),(SUM(15/1.13398)))</f>
        <v>6</v>
      </c>
      <c r="F9" s="91" t="s">
        <v>59</v>
      </c>
      <c r="G9" s="85" t="str">
        <f t="shared" ref="G9:G21" si="2">G8</f>
        <v>LB</v>
      </c>
      <c r="H9" s="90" t="s">
        <v>62</v>
      </c>
    </row>
    <row r="10" spans="1:8" ht="18.75" customHeight="1" x14ac:dyDescent="0.25">
      <c r="A10" s="86" t="s">
        <v>64</v>
      </c>
      <c r="B10" s="87">
        <f>IF( G7="LB",SUM(( 'Menu 3 - Lamb'!F8)*(B3/B2))/16,SUM(( 'Menu 3 - Lamb'!H8)*(B3/B2))/1000)</f>
        <v>0</v>
      </c>
      <c r="C10" s="88" t="str">
        <f t="shared" si="0"/>
        <v>LB</v>
      </c>
      <c r="D10" s="89">
        <f t="shared" si="1"/>
        <v>0</v>
      </c>
      <c r="E10" s="90">
        <f>IF('Menu 1 - Duck'!K3="lb",SUM(21.25/2.5),(SUM(21.25/1.13398)))</f>
        <v>8.5</v>
      </c>
      <c r="F10" s="91" t="s">
        <v>59</v>
      </c>
      <c r="G10" s="85" t="str">
        <f t="shared" si="2"/>
        <v>LB</v>
      </c>
      <c r="H10" s="90" t="s">
        <v>62</v>
      </c>
    </row>
    <row r="11" spans="1:8" ht="18.75" customHeight="1" x14ac:dyDescent="0.25">
      <c r="A11" s="86" t="s">
        <v>65</v>
      </c>
      <c r="B11" s="87">
        <f>IF( G7="LB",SUM(( 'Menu 1 - Duck'!F9)*(B3))/16,SUM(( 'Menu 1 - Duck'!H9)*(B3))/1000)</f>
        <v>0</v>
      </c>
      <c r="C11" s="88" t="str">
        <f t="shared" si="0"/>
        <v>LB</v>
      </c>
      <c r="D11" s="89">
        <f t="shared" si="1"/>
        <v>0</v>
      </c>
      <c r="E11" s="90">
        <f>IF('Menu 1 - Duck'!K3="lb",SUM(8.55/2.5),(SUM(8.55/1.13398)))</f>
        <v>3.4200000000000004</v>
      </c>
      <c r="F11" s="91" t="s">
        <v>59</v>
      </c>
      <c r="G11" s="85" t="str">
        <f t="shared" si="2"/>
        <v>LB</v>
      </c>
      <c r="H11" s="90" t="s">
        <v>62</v>
      </c>
    </row>
    <row r="12" spans="1:8" ht="18.75" customHeight="1" x14ac:dyDescent="0.25">
      <c r="A12" s="86" t="s">
        <v>66</v>
      </c>
      <c r="B12" s="87">
        <f>IF( G7="LB",SUM(( 'Menu 1 - Duck'!F10)*(B3/B2))/16,SUM(('Menu 1 - Duck'!H10)*(B3/B2))/1000)</f>
        <v>0</v>
      </c>
      <c r="C12" s="88" t="str">
        <f t="shared" si="0"/>
        <v>LB</v>
      </c>
      <c r="D12" s="89">
        <f t="shared" si="1"/>
        <v>0</v>
      </c>
      <c r="E12" s="90">
        <f>IF('Menu 1 - Duck'!K3="lb",SUM(7.99/2.5),(SUM(7.99/1.13398)))</f>
        <v>3.1960000000000002</v>
      </c>
      <c r="F12" s="91" t="s">
        <v>59</v>
      </c>
      <c r="G12" s="85" t="str">
        <f t="shared" si="2"/>
        <v>LB</v>
      </c>
      <c r="H12" s="90" t="s">
        <v>62</v>
      </c>
    </row>
    <row r="13" spans="1:8" ht="18.75" customHeight="1" x14ac:dyDescent="0.25">
      <c r="A13" s="86" t="s">
        <v>67</v>
      </c>
      <c r="B13" s="87">
        <f>IF( G7="LB",SUM(( 'Menu 2 - Beef'!F9)*(B3/B2))/16,SUM(( 'Menu 2 - Beef'!H9)*(B3/B2))/1000)</f>
        <v>0</v>
      </c>
      <c r="C13" s="88" t="str">
        <f t="shared" si="0"/>
        <v>LB</v>
      </c>
      <c r="D13" s="89">
        <f t="shared" si="1"/>
        <v>0</v>
      </c>
      <c r="E13" s="90">
        <f>IF('Menu 1 - Duck'!K3="lb",SUM(8.55/2.5),(SUM(8.55/1.13398)))</f>
        <v>3.4200000000000004</v>
      </c>
      <c r="F13" s="91" t="s">
        <v>59</v>
      </c>
      <c r="G13" s="85" t="str">
        <f t="shared" si="2"/>
        <v>LB</v>
      </c>
      <c r="H13" s="90" t="s">
        <v>62</v>
      </c>
    </row>
    <row r="14" spans="1:8" ht="18.75" customHeight="1" x14ac:dyDescent="0.25">
      <c r="A14" s="86" t="s">
        <v>68</v>
      </c>
      <c r="B14" s="87">
        <f>IF( G7="LB",SUM(( 'Menu 3 - Lamb'!F9)*(B3/B2))/16,SUM(( 'Menu 3 - Lamb'!H9)*(B3/B2))/1000)</f>
        <v>0</v>
      </c>
      <c r="C14" s="88" t="str">
        <f t="shared" si="0"/>
        <v>LB</v>
      </c>
      <c r="D14" s="89">
        <f t="shared" si="1"/>
        <v>0</v>
      </c>
      <c r="E14" s="90">
        <f>IF('Menu 1 - Duck'!K3="lb",SUM(7.5/2.5),(SUM(7.5/1.13398)))</f>
        <v>3</v>
      </c>
      <c r="F14" s="91" t="s">
        <v>59</v>
      </c>
      <c r="G14" s="85" t="str">
        <f t="shared" si="2"/>
        <v>LB</v>
      </c>
      <c r="H14" s="90" t="s">
        <v>62</v>
      </c>
    </row>
    <row r="15" spans="1:8" ht="18.75" customHeight="1" x14ac:dyDescent="0.25">
      <c r="A15" s="86" t="s">
        <v>69</v>
      </c>
      <c r="B15" s="87">
        <f>IF( G7="LB",SUM(( 'Menu 1 - Duck'!F11)*(B3))/16,SUM(( 'Menu 1 - Duck'!H11)*(B3))/1000)</f>
        <v>0</v>
      </c>
      <c r="C15" s="88" t="str">
        <f>G15</f>
        <v>LB</v>
      </c>
      <c r="D15" s="89">
        <f t="shared" si="1"/>
        <v>0</v>
      </c>
      <c r="E15" s="90">
        <f>IF('Menu 1 - Duck'!K3="lb",SUM(15/2.5),(SUM(15/1.13398)))</f>
        <v>6</v>
      </c>
      <c r="F15" s="91" t="s">
        <v>59</v>
      </c>
      <c r="G15" s="85" t="str">
        <f t="shared" si="2"/>
        <v>LB</v>
      </c>
      <c r="H15" s="90" t="s">
        <v>62</v>
      </c>
    </row>
    <row r="16" spans="1:8" ht="18.75" customHeight="1" x14ac:dyDescent="0.25">
      <c r="A16" s="86" t="s">
        <v>70</v>
      </c>
      <c r="B16" s="87">
        <f>IF( G7="LB",SUM(( 'Menu 1 - Duck'!F12)*(B3/B2))/16,SUM(( 'Menu 1 - Duck'!H12)*(B3/B2))/1000)</f>
        <v>0</v>
      </c>
      <c r="C16" s="88" t="str">
        <f t="shared" si="0"/>
        <v>LB</v>
      </c>
      <c r="D16" s="89">
        <f t="shared" si="1"/>
        <v>0</v>
      </c>
      <c r="E16" s="90">
        <f>IF('Menu 1 - Duck'!K3="lb",SUM(11.5/2.5),(SUM(11.5/1.13398)))</f>
        <v>4.5999999999999996</v>
      </c>
      <c r="F16" s="91" t="s">
        <v>59</v>
      </c>
      <c r="G16" s="85" t="str">
        <f t="shared" si="2"/>
        <v>LB</v>
      </c>
      <c r="H16" s="90" t="s">
        <v>62</v>
      </c>
    </row>
    <row r="17" spans="1:8" ht="18.75" customHeight="1" x14ac:dyDescent="0.25">
      <c r="A17" s="86" t="s">
        <v>71</v>
      </c>
      <c r="B17" s="87">
        <f>IF( G7="LB",SUM(( 'Menu 2 - Beef'!F12)*(B3/B2))/16,SUM(( 'Menu 2 - Beef'!H12)*(B3/B2))/1000)</f>
        <v>0</v>
      </c>
      <c r="C17" s="88" t="str">
        <f t="shared" si="0"/>
        <v>LB</v>
      </c>
      <c r="D17" s="89">
        <f t="shared" si="1"/>
        <v>0</v>
      </c>
      <c r="E17" s="90">
        <f>IF('Menu 1 - Duck'!K3="lb",SUM(11/2.5),(SUM(11/1.13398)))</f>
        <v>4.4000000000000004</v>
      </c>
      <c r="F17" s="91" t="s">
        <v>59</v>
      </c>
      <c r="G17" s="85" t="str">
        <f t="shared" si="2"/>
        <v>LB</v>
      </c>
      <c r="H17" s="90" t="s">
        <v>62</v>
      </c>
    </row>
    <row r="18" spans="1:8" ht="18.75" customHeight="1" x14ac:dyDescent="0.25">
      <c r="A18" s="86" t="s">
        <v>72</v>
      </c>
      <c r="B18" s="87">
        <f>IF( G7="LB",SUM(( 'Menu 3 - Lamb'!F12)*(B3/B2))/16,SUM(( 'Menu 3 - Lamb'!H12)*(B3/B2))/1000)</f>
        <v>0</v>
      </c>
      <c r="C18" s="88" t="str">
        <f t="shared" si="0"/>
        <v>LB</v>
      </c>
      <c r="D18" s="89">
        <f t="shared" si="1"/>
        <v>0</v>
      </c>
      <c r="E18" s="90">
        <f>IF('Menu 1 - Duck'!K3="lb",SUM(7.89/2.5),(SUM(7.89/1.13398)))</f>
        <v>3.1559999999999997</v>
      </c>
      <c r="F18" s="91" t="s">
        <v>59</v>
      </c>
      <c r="G18" s="85" t="str">
        <f t="shared" si="2"/>
        <v>LB</v>
      </c>
      <c r="H18" s="90" t="s">
        <v>62</v>
      </c>
    </row>
    <row r="19" spans="1:8" ht="18.75" customHeight="1" x14ac:dyDescent="0.25">
      <c r="A19" s="86" t="s">
        <v>73</v>
      </c>
      <c r="B19" s="87">
        <f>IF( G7="LB",SUM(( 'Menu 1 - Duck'!F13)*(B3/B2))/16,SUM(( 'Menu 1 - Duck'!H13)*(B3/B2))/1000)</f>
        <v>0</v>
      </c>
      <c r="C19" s="88" t="str">
        <f t="shared" si="0"/>
        <v>LB</v>
      </c>
      <c r="D19" s="89">
        <f t="shared" si="1"/>
        <v>0</v>
      </c>
      <c r="E19" s="90">
        <f>IF('Menu 1 - Duck'!K3="lb",2,SUM(2/0.453592))</f>
        <v>2</v>
      </c>
      <c r="F19" s="91" t="s">
        <v>59</v>
      </c>
      <c r="G19" s="85" t="str">
        <f t="shared" si="2"/>
        <v>LB</v>
      </c>
      <c r="H19" s="94" t="s">
        <v>74</v>
      </c>
    </row>
    <row r="20" spans="1:8" ht="18.75" customHeight="1" x14ac:dyDescent="0.25">
      <c r="A20" s="86" t="s">
        <v>75</v>
      </c>
      <c r="B20" s="87">
        <f>IF( G7="LB",SUM(( 'Menu 2 - Beef'!F13)*(B3/B2))/16,SUM(( 'Menu 2 - Beef'!H13)*(B3/B2))/1000)</f>
        <v>0</v>
      </c>
      <c r="C20" s="88" t="str">
        <f t="shared" si="0"/>
        <v>LB</v>
      </c>
      <c r="D20" s="89">
        <f t="shared" si="1"/>
        <v>0</v>
      </c>
      <c r="E20" s="90">
        <f>IF('Menu 1 - Duck'!K3="lb",2,SUM(2/0.453592))</f>
        <v>2</v>
      </c>
      <c r="F20" s="91" t="s">
        <v>59</v>
      </c>
      <c r="G20" s="85" t="str">
        <f t="shared" si="2"/>
        <v>LB</v>
      </c>
      <c r="H20" s="94" t="s">
        <v>74</v>
      </c>
    </row>
    <row r="21" spans="1:8" ht="18.75" customHeight="1" x14ac:dyDescent="0.25">
      <c r="A21" s="86" t="s">
        <v>76</v>
      </c>
      <c r="B21" s="87">
        <f>IF( G7="LB",SUM(( 'Menu 3 - Lamb'!F13)*(B3/B2))/16,SUM(( 'Menu 3 - Lamb'!H13)*(B3/B2))/1000)</f>
        <v>0</v>
      </c>
      <c r="C21" s="88" t="str">
        <f t="shared" si="0"/>
        <v>LB</v>
      </c>
      <c r="D21" s="89">
        <f t="shared" si="1"/>
        <v>0</v>
      </c>
      <c r="E21" s="90">
        <f>IF('Menu 1 - Duck'!K3="lb",2,SUM(2/0.453592))</f>
        <v>2</v>
      </c>
      <c r="F21" s="91" t="s">
        <v>59</v>
      </c>
      <c r="G21" s="85" t="str">
        <f t="shared" si="2"/>
        <v>LB</v>
      </c>
      <c r="H21" s="94" t="s">
        <v>74</v>
      </c>
    </row>
    <row r="22" spans="1:8" ht="18.75" customHeight="1" x14ac:dyDescent="0.25">
      <c r="A22" s="86" t="s">
        <v>77</v>
      </c>
      <c r="B22" s="87">
        <f>SUM('Menu 3 - Lamb'!F15)*(B3/B2)</f>
        <v>0</v>
      </c>
      <c r="C22" s="88" t="s">
        <v>78</v>
      </c>
      <c r="D22" s="89">
        <f>SUM(B22/12)*E22</f>
        <v>0</v>
      </c>
      <c r="E22" s="90">
        <v>2.5</v>
      </c>
      <c r="F22" s="91" t="s">
        <v>59</v>
      </c>
      <c r="G22" s="92" t="s">
        <v>79</v>
      </c>
      <c r="H22" s="90" t="s">
        <v>74</v>
      </c>
    </row>
    <row r="23" spans="1:8" ht="18.75" customHeight="1" x14ac:dyDescent="0.25">
      <c r="A23" s="6"/>
      <c r="B23" s="95">
        <f>SUM( B8:B21)+(((B22*50)/28.35)/16)</f>
        <v>0</v>
      </c>
      <c r="C23" s="96" t="str">
        <f>G7</f>
        <v>LB</v>
      </c>
      <c r="D23" s="97">
        <f>SUM(D8:D22)</f>
        <v>0</v>
      </c>
      <c r="E23" s="98"/>
      <c r="F23" s="99"/>
      <c r="G23" s="100"/>
      <c r="H23" s="101"/>
    </row>
    <row r="24" spans="1:8" ht="18.75" customHeight="1" x14ac:dyDescent="0.25">
      <c r="A24" s="102"/>
      <c r="B24" s="193" t="s">
        <v>80</v>
      </c>
      <c r="C24" s="196"/>
      <c r="D24" s="103" t="s">
        <v>81</v>
      </c>
      <c r="E24" s="98"/>
      <c r="F24" s="104"/>
      <c r="G24" s="100"/>
      <c r="H24" s="101"/>
    </row>
    <row r="25" spans="1:8" ht="18.75" customHeight="1" x14ac:dyDescent="0.25">
      <c r="A25" s="105"/>
      <c r="B25" s="197" t="e">
        <f>SUM(D23/B23)</f>
        <v>#DIV/0!</v>
      </c>
      <c r="C25" s="198"/>
      <c r="D25" s="199"/>
      <c r="E25" s="98"/>
      <c r="F25" s="104"/>
      <c r="G25" s="100"/>
      <c r="H25" s="101"/>
    </row>
    <row r="26" spans="1:8" ht="18.75" customHeight="1" x14ac:dyDescent="0.25">
      <c r="A26" s="6"/>
      <c r="B26" s="200" t="str">
        <f>CONCATENATE("Average price per ", G7)</f>
        <v>Average price per LB</v>
      </c>
      <c r="C26" s="198"/>
      <c r="D26" s="199"/>
      <c r="E26" s="98"/>
      <c r="F26" s="104"/>
      <c r="G26" s="100"/>
      <c r="H26" s="101"/>
    </row>
    <row r="27" spans="1:8" ht="18.75" customHeight="1" x14ac:dyDescent="0.25">
      <c r="A27" s="105"/>
      <c r="B27" s="6"/>
      <c r="C27" s="6"/>
      <c r="D27" s="6"/>
      <c r="E27" s="6"/>
      <c r="F27" s="6"/>
      <c r="G27" s="6"/>
      <c r="H27" s="6"/>
    </row>
    <row r="28" spans="1:8" ht="18.75" customHeight="1" x14ac:dyDescent="0.25">
      <c r="A28" s="6"/>
      <c r="B28" s="195" t="s">
        <v>82</v>
      </c>
      <c r="C28" s="191"/>
      <c r="D28" s="192"/>
      <c r="E28" s="6"/>
      <c r="F28" s="6"/>
      <c r="G28" s="6"/>
      <c r="H28" s="6"/>
    </row>
    <row r="29" spans="1:8" ht="18.75" customHeight="1" x14ac:dyDescent="0.25">
      <c r="A29" s="74" t="s">
        <v>83</v>
      </c>
      <c r="B29" s="187" t="str">
        <f>CONCATENATE("Amount needed for ", SUM(B3), " days")</f>
        <v>Amount needed for 30 days</v>
      </c>
      <c r="C29" s="188"/>
      <c r="D29" s="189"/>
      <c r="E29" s="75" t="s">
        <v>58</v>
      </c>
      <c r="F29" s="76" t="s">
        <v>59</v>
      </c>
      <c r="G29" s="77" t="s">
        <v>84</v>
      </c>
      <c r="H29" s="78" t="s">
        <v>60</v>
      </c>
    </row>
    <row r="30" spans="1:8" ht="18.75" customHeight="1" x14ac:dyDescent="0.25">
      <c r="A30" s="106" t="s">
        <v>85</v>
      </c>
      <c r="B30" s="107">
        <f>SUM(( 'Menu 2 - Beef'!F14)*(B3/B2))</f>
        <v>0</v>
      </c>
      <c r="C30" s="108" t="s">
        <v>20</v>
      </c>
      <c r="D30" s="109">
        <f t="shared" ref="D30:D31" si="3">SUM(E30/51)*B30</f>
        <v>0</v>
      </c>
      <c r="E30" s="110">
        <v>11.43</v>
      </c>
      <c r="F30" s="111" t="s">
        <v>59</v>
      </c>
      <c r="G30" s="112" t="s">
        <v>86</v>
      </c>
      <c r="H30" s="113" t="s">
        <v>87</v>
      </c>
    </row>
    <row r="31" spans="1:8" ht="18.75" customHeight="1" x14ac:dyDescent="0.25">
      <c r="A31" s="106" t="s">
        <v>88</v>
      </c>
      <c r="B31" s="114">
        <f>SUM(( 'Menu 1 - Duck'!F14)*(B3/B2))</f>
        <v>0</v>
      </c>
      <c r="C31" s="115" t="s">
        <v>20</v>
      </c>
      <c r="D31" s="109">
        <f t="shared" si="3"/>
        <v>0</v>
      </c>
      <c r="E31" s="116">
        <v>17.989999999999998</v>
      </c>
      <c r="F31" s="117" t="s">
        <v>59</v>
      </c>
      <c r="G31" s="118" t="s">
        <v>86</v>
      </c>
      <c r="H31" s="119" t="s">
        <v>87</v>
      </c>
    </row>
    <row r="32" spans="1:8" ht="18.75" customHeight="1" x14ac:dyDescent="0.25">
      <c r="A32" s="120" t="str">
        <f>IF('Menu 1 - Duck'!C15="Thorne Research Zinc Picolinate (15mg/capsule)",HYPERLINK("https://www.amazon.com/Thorne-Research-Picolinate-Absorbable-Reproductive/dp/B0797NSHQX/","Thorne Research Zinc Picolinate (15mg/capsule)"), IF('Menu 1 - Duck'!C15="Solgar Zinc Picolinate (22mg/tablet)",HYPERLINK("https://www.amazon.com/Solgar-Zinc-Picolinate-100-Tablets/dp/B00020ICLC/","Solgar Zinc Picolinate (22mg/tablet)"),IF('Menu 1 - Duck'!C15="Thorne Research Zinc Picolinate (30mg/capsule)",HYPERLINK("https://www.amazon.com/Thorne-Research-Picolinate-Well-Absorbed-Supplement/dp/B0012ZQPKG/","Thorne Research Zinc Picolinate (30mg/capsule)"),IF('Menu 1 - Duck'!C15="NOW Zinc Picolinate (50mg/capsule)",HYPERLINK("https://www.amazon.com/NOW-Zinc-Picolinate-50mg-Capsules/dp/B0001SREQY/","NOW Zinc Picolinate (50mg/capsule)"),"error"))))</f>
        <v>error</v>
      </c>
      <c r="B32" s="121">
        <f>SUM('Menu 1 - Duck'!F15)*B3</f>
        <v>0</v>
      </c>
      <c r="C32" s="122" t="str">
        <f>'Menu 1 - Duck'!I15</f>
        <v>error</v>
      </c>
      <c r="D32" s="123" t="str">
        <f>IF(A32="Thorne Research Zinc Picolinate (15mg/capsule)",SUM(E32/60)*B32, IF(A32="Solgar Zinc Picolinate (22mg/tablet)", SUM(E32/100)*B32,IF( A32="Thorne Research Zinc Picolinate (30mg/capsule)",SUM(E32/60)*B32,IF(A32="NOW Zinc Picolinate (50mg/capsule)",SUM(E32/60)*B32,"error"))))</f>
        <v>error</v>
      </c>
      <c r="E32" s="116" t="str">
        <f>IF(A32="Thorne Research Zinc Picolinate (15mg/capsule)", 11, IF(A32="Solgar Zinc Picolinate (22mg/tablet)",11.24,IF(A32="Thorne Research Zinc Picolinate (30mg/capsule)", 8.1,IF(A32="NOW Zinc Picolinate (50mg/capsule)",6.08,"error"))))</f>
        <v>error</v>
      </c>
      <c r="F32" s="117" t="s">
        <v>59</v>
      </c>
      <c r="G32" s="118" t="s">
        <v>86</v>
      </c>
      <c r="H32" s="119" t="s">
        <v>87</v>
      </c>
    </row>
    <row r="33" spans="1:8" ht="18.75" customHeight="1" x14ac:dyDescent="0.25">
      <c r="A33" s="124" t="str">
        <f>HYPERLINK("https://www.amazon.com/NOW-FOODS-SPO-32000-Ounce/dp/B000MXE4FW/","NOW Vitamin E (31.6IU/drop)")</f>
        <v>NOW Vitamin E (31.6IU/drop)</v>
      </c>
      <c r="B33" s="125">
        <f>SUM( 'Menu 1 - Duck'!F16)*B3</f>
        <v>0</v>
      </c>
      <c r="C33" s="126" t="s">
        <v>89</v>
      </c>
      <c r="D33" s="127">
        <f>SUM(E33/750)*B33</f>
        <v>0</v>
      </c>
      <c r="E33" s="128">
        <v>12.91</v>
      </c>
      <c r="F33" s="129" t="s">
        <v>59</v>
      </c>
      <c r="G33" s="93" t="s">
        <v>86</v>
      </c>
      <c r="H33" s="94" t="s">
        <v>87</v>
      </c>
    </row>
    <row r="34" spans="1:8" ht="18.75" customHeight="1" x14ac:dyDescent="0.25">
      <c r="A34" s="106" t="str">
        <f>IF('Menu 1 - Duck'!C17="NOW Pure Kelp Powder (450mcg/scoop)",HYPERLINK("https://www.amazon.com/Kelp-Powder-Norwegian-Now-Foods/dp/B0002JG1GG/","NOW Pure Kelp Powder (450mcg/scoop)"),IF('Menu 1 - Duck'!C17="Solgar Kelp (200mcg/capsule)",HYPERLINK("https://www.amazon.com/Solgar-North-Atlantic-Vegetable-Capsules/dp/B00014EB0K/","Solgar Kelp (200mcg/capsule)"),IF('Menu 1 - Duck'!C17="Mary Ruth's Pure Iodine (125mcg/drop)",HYPERLINK("https://www.amazon.com/Organic-Vegan-Iodine-Drops-Non-GMO/dp/B07P4M7RHZ/","Mary Ruth's Pure Iodine (125mcg/drop)"),IF('Menu 1 - Duck'!C17="NOW Kelp Tablets (150mcg/tablet)",HYPERLINK("https://www.amazon.com/Foods-150mcg-Natural-Iodine-Tablets/dp/B0001T0CL2/","NOW Kelp Tablets (150mcg/tablet)"),"error"))))</f>
        <v>error</v>
      </c>
      <c r="B34" s="130">
        <f>SUM( 'Menu 1 - Duck'!F17)*B3</f>
        <v>0</v>
      </c>
      <c r="C34" s="131" t="str">
        <f>'Menu 1 - Duck'!I17</f>
        <v>error</v>
      </c>
      <c r="D34" s="132" t="str">
        <f>IF(A34="NOW Pure Kelp Powder (450mcg/scoop)",SUM((B34/2522)*E34),IF(A34="Solgar Kelp (200mcg/capsule)",SUM((B34/100)*E34),IF(A34="Mary Ruth's Pure Iodine (125mcg/drop)",SUM((B34/450)*E34),IF(A34="NOW Kelp Tablets (150mcg/tablet)",SUM((B34/200)*E34),"error"       ))))</f>
        <v>error</v>
      </c>
      <c r="E34" s="133" t="str">
        <f>IF(A34="NOW Pure Kelp Powder (450mcg/scoop)", 9.82,IF(A34="Solgar Kelp (200mcg/capsule)",12.9,IF(A34="Mary Ruth's Pure Iodine (125mcg/drop)",21.95,IF(A34="NOW Kelp Tablets (150mcg/tablet)",8.95,"error"       ))))</f>
        <v>error</v>
      </c>
      <c r="F34" s="134" t="s">
        <v>59</v>
      </c>
      <c r="G34" s="135" t="s">
        <v>86</v>
      </c>
      <c r="H34" s="136" t="s">
        <v>87</v>
      </c>
    </row>
    <row r="35" spans="1:8" ht="15.75" customHeight="1" x14ac:dyDescent="0.25">
      <c r="A35" s="6"/>
      <c r="B35" s="190">
        <f>SUM(D30:D34)</f>
        <v>0</v>
      </c>
      <c r="C35" s="191"/>
      <c r="D35" s="192"/>
      <c r="E35" s="6"/>
      <c r="F35" s="6"/>
      <c r="G35" s="6"/>
      <c r="H35" s="6"/>
    </row>
    <row r="36" spans="1:8" ht="15.75" customHeight="1" x14ac:dyDescent="0.25">
      <c r="A36" s="6"/>
      <c r="B36" s="193" t="s">
        <v>90</v>
      </c>
      <c r="C36" s="188"/>
      <c r="D36" s="189"/>
      <c r="E36" s="6"/>
      <c r="F36" s="6"/>
      <c r="G36" s="6"/>
      <c r="H36" s="6"/>
    </row>
  </sheetData>
  <mergeCells count="10">
    <mergeCell ref="B29:D29"/>
    <mergeCell ref="B35:D35"/>
    <mergeCell ref="B36:D36"/>
    <mergeCell ref="H1:H4"/>
    <mergeCell ref="B6:D6"/>
    <mergeCell ref="B7:D7"/>
    <mergeCell ref="B24:C24"/>
    <mergeCell ref="B25:D25"/>
    <mergeCell ref="B26:D26"/>
    <mergeCell ref="B28:D28"/>
  </mergeCells>
  <hyperlinks>
    <hyperlink ref="A30" r:id="rId1" xr:uid="{00000000-0004-0000-0300-000000000000}"/>
    <hyperlink ref="A31" r:id="rId2" xr:uid="{00000000-0004-0000-0300-000001000000}"/>
  </hyperlinks>
  <printOptions horizontalCentered="1" gridLines="1"/>
  <pageMargins left="0.7" right="0.7" top="0.75" bottom="0.75" header="0" footer="0"/>
  <pageSetup fitToHeight="0" pageOrder="overThenDown" orientation="portrait" cellComments="atEnd"/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Menu 1 - Duck</vt:lpstr>
      <vt:lpstr>Menu 2 - Beef</vt:lpstr>
      <vt:lpstr>Menu 3 - Lamb</vt:lpstr>
      <vt:lpstr>Shopping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Rachel Godfrey</cp:lastModifiedBy>
  <dcterms:created xsi:type="dcterms:W3CDTF">2022-01-15T03:27:46Z</dcterms:created>
  <dcterms:modified xsi:type="dcterms:W3CDTF">2022-01-17T03:54:09Z</dcterms:modified>
</cp:coreProperties>
</file>