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opping List" sheetId="1" r:id="rId4"/>
    <sheet state="visible" name="Weekly Feeding Schedule" sheetId="2" r:id="rId5"/>
    <sheet state="visible" name="AAFCO Report" sheetId="3" r:id="rId6"/>
    <sheet state="visible" name="Data Sheet" sheetId="4" r:id="rId7"/>
    <sheet state="hidden" name="List Ranges" sheetId="5" r:id="rId8"/>
  </sheets>
  <definedNames>
    <definedName name="RawMeatyBones">'List Ranges'!$A$3:$A$7</definedName>
    <definedName name="MuscleMeat">'List Ranges'!$B$3:$B$7</definedName>
  </definedNames>
  <calcPr/>
  <extLst>
    <ext uri="GoogleSheetsCustomDataVersion1">
      <go:sheetsCustomData xmlns:go="http://customooxmlschemas.google.com/" r:id="rId9" roundtripDataSignature="AMtx7mgbO6muBt3QSpq6BeeB4UBfEi0sLQ=="/>
    </ext>
  </extLst>
</workbook>
</file>

<file path=xl/sharedStrings.xml><?xml version="1.0" encoding="utf-8"?>
<sst xmlns="http://schemas.openxmlformats.org/spreadsheetml/2006/main" count="490" uniqueCount="271">
  <si>
    <t>Dog Name</t>
  </si>
  <si>
    <t>Dog's Ideal Weight</t>
  </si>
  <si>
    <t>Total Cups of Dry Dog Food Fed Per Day</t>
  </si>
  <si>
    <t>CUPS</t>
  </si>
  <si>
    <t>Calories Per Cup of Dry Dog Food</t>
  </si>
  <si>
    <t>KCAL</t>
  </si>
  <si>
    <t>Percentage of Fresh Food Additions</t>
  </si>
  <si>
    <t>Total Number of Feeding Weeks to Calculate</t>
  </si>
  <si>
    <t>WEEKS</t>
  </si>
  <si>
    <t>Ingredients</t>
  </si>
  <si>
    <t>WEIGHTS</t>
  </si>
  <si>
    <t>COSTS</t>
  </si>
  <si>
    <t>Price</t>
  </si>
  <si>
    <t>/</t>
  </si>
  <si>
    <t>Notes</t>
  </si>
  <si>
    <t>DAILY</t>
  </si>
  <si>
    <t>Enter dry dog food brand name and price.</t>
  </si>
  <si>
    <t>For added moisture.</t>
  </si>
  <si>
    <t>SUNDAY &amp; WEDNESDAY</t>
  </si>
  <si>
    <t>Lean muscle meat.</t>
  </si>
  <si>
    <t>EGGS</t>
  </si>
  <si>
    <t>DOZ</t>
  </si>
  <si>
    <t>Poultry egg.</t>
  </si>
  <si>
    <t>Vegetable, optional.</t>
  </si>
  <si>
    <t>MONDAY &amp; THURSDAY</t>
  </si>
  <si>
    <t>Fatty fish, raw or canned acceptable.</t>
  </si>
  <si>
    <t>Secreating organs.</t>
  </si>
  <si>
    <t>TUESDAY &amp; FRIDAY</t>
  </si>
  <si>
    <t>Muscular organ.</t>
  </si>
  <si>
    <t>Shellfish, must be cooked or canned.</t>
  </si>
  <si>
    <t>SATURDAY</t>
  </si>
  <si>
    <t xml:space="preserve">  Saturday has the option to include a Raw Meaty Bone or Boneless Muscle Meat. Select one option.</t>
  </si>
  <si>
    <t>Dairy.</t>
  </si>
  <si>
    <t>Weight Total</t>
  </si>
  <si>
    <t>Total Costs</t>
  </si>
  <si>
    <t>Calories From Dry Dog Food</t>
  </si>
  <si>
    <t>Calories From Fresh Food</t>
  </si>
  <si>
    <t>Daily Calorie Requirements</t>
  </si>
  <si>
    <t>SUNDAY</t>
  </si>
  <si>
    <t>Required Ingredients</t>
  </si>
  <si>
    <t>Amount</t>
  </si>
  <si>
    <t>Calories</t>
  </si>
  <si>
    <t>Dry Dog Food</t>
  </si>
  <si>
    <t>CUP</t>
  </si>
  <si>
    <t>OZ</t>
  </si>
  <si>
    <t>G</t>
  </si>
  <si>
    <t>QTY</t>
  </si>
  <si>
    <t>Optional Ingredients</t>
  </si>
  <si>
    <t>MONDAY</t>
  </si>
  <si>
    <t>TUESDAY</t>
  </si>
  <si>
    <t>WEDNESDAY</t>
  </si>
  <si>
    <t>THURSDAY</t>
  </si>
  <si>
    <t>FRIDAY</t>
  </si>
  <si>
    <t>Nutritional Guidelines</t>
  </si>
  <si>
    <t>AAFCO 2020</t>
  </si>
  <si>
    <t>Total Number of Days With Fresh Food</t>
  </si>
  <si>
    <t>DAYS</t>
  </si>
  <si>
    <t xml:space="preserve">Fresh Food Daily Calorie Amounts </t>
  </si>
  <si>
    <t>Amino Acids</t>
  </si>
  <si>
    <t>Sunday</t>
  </si>
  <si>
    <t>Monday</t>
  </si>
  <si>
    <t>Tuesday</t>
  </si>
  <si>
    <t>Wednesday</t>
  </si>
  <si>
    <t>Thursday</t>
  </si>
  <si>
    <t>Friday</t>
  </si>
  <si>
    <t>Saturday</t>
  </si>
  <si>
    <t>Average</t>
  </si>
  <si>
    <t>Crude Protein</t>
  </si>
  <si>
    <t>g</t>
  </si>
  <si>
    <t>Arginine</t>
  </si>
  <si>
    <t>Histidine</t>
  </si>
  <si>
    <t>Isoleucine</t>
  </si>
  <si>
    <t>Methionine</t>
  </si>
  <si>
    <t>Cystine</t>
  </si>
  <si>
    <t>Leucine</t>
  </si>
  <si>
    <t>Lysine</t>
  </si>
  <si>
    <t>Phenylalanine</t>
  </si>
  <si>
    <t>Tyrosine</t>
  </si>
  <si>
    <t>Threonine</t>
  </si>
  <si>
    <t>Tryptophan</t>
  </si>
  <si>
    <t>Valine</t>
  </si>
  <si>
    <t>Fats &amp; Fatty Acids</t>
  </si>
  <si>
    <t>Total Fat</t>
  </si>
  <si>
    <t>Linoleic Acid</t>
  </si>
  <si>
    <t>Alpha-Linolenic Acid</t>
  </si>
  <si>
    <t>Arachidonic Acid</t>
  </si>
  <si>
    <t>EPA &amp; DHA</t>
  </si>
  <si>
    <t>Vitamins</t>
  </si>
  <si>
    <t>Vitamin A</t>
  </si>
  <si>
    <t>mcg</t>
  </si>
  <si>
    <t>Vitamin D</t>
  </si>
  <si>
    <t>Vitamin E</t>
  </si>
  <si>
    <t>mg</t>
  </si>
  <si>
    <t>Thiamin (B1)</t>
  </si>
  <si>
    <t>Riboflavin (B2)</t>
  </si>
  <si>
    <t>Niacin (B3)</t>
  </si>
  <si>
    <t>Pantothenic Acid (B5)</t>
  </si>
  <si>
    <t>Pyridoxine (B6)</t>
  </si>
  <si>
    <t>Folic Acid (B9)</t>
  </si>
  <si>
    <t>Cobalamin (B12)</t>
  </si>
  <si>
    <t>Choline</t>
  </si>
  <si>
    <t>Minerals</t>
  </si>
  <si>
    <t>Calcium</t>
  </si>
  <si>
    <t>Phosphorus</t>
  </si>
  <si>
    <t>Potassium</t>
  </si>
  <si>
    <t>Magnesium</t>
  </si>
  <si>
    <t>Sodium</t>
  </si>
  <si>
    <t>Chloride</t>
  </si>
  <si>
    <t>Iron</t>
  </si>
  <si>
    <t>Copper</t>
  </si>
  <si>
    <t>Zinc</t>
  </si>
  <si>
    <t>Manganese</t>
  </si>
  <si>
    <t>Selenium</t>
  </si>
  <si>
    <t>Iodine</t>
  </si>
  <si>
    <t>Calorie Base</t>
  </si>
  <si>
    <t>kcal</t>
  </si>
  <si>
    <t>Oz per 1000kcal</t>
  </si>
  <si>
    <t>oz</t>
  </si>
  <si>
    <t>Grams per cup</t>
  </si>
  <si>
    <t>Oz per Cup of Dry Dog Food</t>
  </si>
  <si>
    <t>Grams per Oz</t>
  </si>
  <si>
    <t>Ingredient</t>
  </si>
  <si>
    <t>Category</t>
  </si>
  <si>
    <t>Data Link</t>
  </si>
  <si>
    <t>Grams</t>
  </si>
  <si>
    <t>Moisture</t>
  </si>
  <si>
    <t>Protein</t>
  </si>
  <si>
    <t>Fat</t>
  </si>
  <si>
    <t>Carbs</t>
  </si>
  <si>
    <t>Ash</t>
  </si>
  <si>
    <t>Arginine (g)</t>
  </si>
  <si>
    <t>Histidine (g)</t>
  </si>
  <si>
    <t>Isoleucine (g)</t>
  </si>
  <si>
    <t>Methionine (g)</t>
  </si>
  <si>
    <t>Cystine (g)</t>
  </si>
  <si>
    <t>Leucine (g)</t>
  </si>
  <si>
    <t>Lysine (g)</t>
  </si>
  <si>
    <t>Phenylalanine (g)</t>
  </si>
  <si>
    <t>Tyrosine (g)</t>
  </si>
  <si>
    <t>Threonine (g)</t>
  </si>
  <si>
    <t>Tryptophan (g)</t>
  </si>
  <si>
    <t>Valine (g)</t>
  </si>
  <si>
    <t>LA 18:2 (g)</t>
  </si>
  <si>
    <t>ALA 18:3 (g)</t>
  </si>
  <si>
    <t>AA 20:4 (g)</t>
  </si>
  <si>
    <t>EPA &amp; DHA (g)</t>
  </si>
  <si>
    <t>Calcium (g)</t>
  </si>
  <si>
    <t>Phosphorous (g)</t>
  </si>
  <si>
    <t>Potassium (g)</t>
  </si>
  <si>
    <t>Magnesium (mg)</t>
  </si>
  <si>
    <t>Sodium (mg)</t>
  </si>
  <si>
    <t>Chloride (mg)</t>
  </si>
  <si>
    <t>Iron (mg)</t>
  </si>
  <si>
    <t>Copper (mg)</t>
  </si>
  <si>
    <t>Zinc (mg)</t>
  </si>
  <si>
    <t>Manganese (mg)</t>
  </si>
  <si>
    <t>Selenium (mcg)</t>
  </si>
  <si>
    <t>Iodine (mcg)</t>
  </si>
  <si>
    <t>Vitamin A (RE)</t>
  </si>
  <si>
    <t>Vitamin D (mcg)</t>
  </si>
  <si>
    <t>Vitamin E (mg)</t>
  </si>
  <si>
    <t>Thiamin (B1) (mg)</t>
  </si>
  <si>
    <t>Riboflavin (B2) (mg)</t>
  </si>
  <si>
    <t>Niacin (B3) (mg)</t>
  </si>
  <si>
    <t>Vitamin B5 (mg)</t>
  </si>
  <si>
    <t>Vitamin B6 (mg)</t>
  </si>
  <si>
    <t>Folic Acid (B9) (mcg)</t>
  </si>
  <si>
    <t>Vitamin B12 (mcg)</t>
  </si>
  <si>
    <t>Choline (mg)</t>
  </si>
  <si>
    <t>Beef Round, lean</t>
  </si>
  <si>
    <t>Muscle Meat</t>
  </si>
  <si>
    <t>https://fdc.nal.usda.gov/fdc-app.html#/food-details/173371/nutrients</t>
  </si>
  <si>
    <t>Pork Loin, lean</t>
  </si>
  <si>
    <t>https://fdc.nal.usda.gov/fdc-app.html#/food-details/168230/nutrients</t>
  </si>
  <si>
    <t>Chicken Thigh, boneless, skinless</t>
  </si>
  <si>
    <t>https://fdc.nal.usda.gov/fdc-app.html#/food-details/173627/nutrients</t>
  </si>
  <si>
    <t>Lamb Leg, boneless, lean</t>
  </si>
  <si>
    <t>https://fdc.nal.usda.gov/fdc-app.html#/food-details/172486/nutrients</t>
  </si>
  <si>
    <t>Venison, lean</t>
  </si>
  <si>
    <t>https://fdc.nal.usda.gov/fdc-app.html#/food-details/173855/nutrients</t>
  </si>
  <si>
    <t>Beef Heart</t>
  </si>
  <si>
    <t>Muscular Organ</t>
  </si>
  <si>
    <t>https://fdc.nal.usda.gov/fdc-app.html#/food-details/168625/nutrients</t>
  </si>
  <si>
    <t>Pork Heart</t>
  </si>
  <si>
    <t>https://fdc.nal.usda.gov/fdc-app.html#/food-details/168267/nutrients</t>
  </si>
  <si>
    <t>Chicken Heart</t>
  </si>
  <si>
    <t>https://fdc.nal.usda.gov/fdc-app.html#/food-details/171458/nutrients</t>
  </si>
  <si>
    <t>Lamb Heart</t>
  </si>
  <si>
    <t>https://fdc.nal.usda.gov/fdc-app.html#/food-details/172527/nutrients</t>
  </si>
  <si>
    <t>Beef Liver</t>
  </si>
  <si>
    <t>Secreting Organ</t>
  </si>
  <si>
    <t>https://fdc.nal.usda.gov/fdc-app.html#/food-details/169451/nutrients</t>
  </si>
  <si>
    <t>Beef Kidney</t>
  </si>
  <si>
    <t>https://fdc.nal.usda.gov/fdc-app.html#/food-details/169449/nutrients</t>
  </si>
  <si>
    <t>Pork Liver</t>
  </si>
  <si>
    <t>https://fdc.nal.usda.gov/fdc-app.html#/food-details/167862/nutrients</t>
  </si>
  <si>
    <t>Pork Kidney</t>
  </si>
  <si>
    <t>https://fdc.nal.usda.gov/fdc-app.html#/food-details/168270/nutrients</t>
  </si>
  <si>
    <t>Chicken Liver</t>
  </si>
  <si>
    <t>https://fdc.nal.usda.gov/fdc-app.html#/food-details/171060/nutrients</t>
  </si>
  <si>
    <t>Lamb Liver</t>
  </si>
  <si>
    <t>https://fdc.nal.usda.gov/fdc-app.html#/food-details/172531/nutrients</t>
  </si>
  <si>
    <t>Lamb Kidney</t>
  </si>
  <si>
    <t>https://fdc.nal.usda.gov/fdc-app.html#/food-details/174354/nutrients</t>
  </si>
  <si>
    <t>Salmon, Pink, raw</t>
  </si>
  <si>
    <t>Fish</t>
  </si>
  <si>
    <t>https://fdc.nal.usda.gov/fdc-app.html#/food-details/175138/nutrients</t>
  </si>
  <si>
    <t>Canned Pink Salmon, in water</t>
  </si>
  <si>
    <t>https://fdc.nal.usda.gov/fdc-app.html#/food-details/175175/nutrients</t>
  </si>
  <si>
    <t>Atlantic Mackerel, raw</t>
  </si>
  <si>
    <t>https://fdc.nal.usda.gov/fdc-app.html#/food-details/175119/nutrients</t>
  </si>
  <si>
    <t>Canned Mackerel, in water</t>
  </si>
  <si>
    <t>https://fdc.nal.usda.gov/fdc-app.html#/food-details/175121/nutrients</t>
  </si>
  <si>
    <t>Sardines, raw</t>
  </si>
  <si>
    <t>https://www.checkyourfood.com/ingredients/ingredient/944/sardines-whole?fbclid=IwAR2gTzP-EU2qoZoQulwgPQfbVi3MFM9DIGYijUux1n8NU1uufIKF362SEGE</t>
  </si>
  <si>
    <t>Canned Sardines, in water</t>
  </si>
  <si>
    <t>https://fdc.nal.usda.gov/fdc-app.html#/food-details/175139/nutrients</t>
  </si>
  <si>
    <t>Chicken Egg, large, no shell</t>
  </si>
  <si>
    <t>Whole Food</t>
  </si>
  <si>
    <t>https://fdc.nal.usda.gov/fdc-app.html#/food-details/171287/nutrients</t>
  </si>
  <si>
    <t>Quail Egg, no shell</t>
  </si>
  <si>
    <t>https://fdc.nal.usda.gov/fdc-app.html#/food-details/172191/nutrients</t>
  </si>
  <si>
    <t>Duck Egg, no shell</t>
  </si>
  <si>
    <t>https://fdc.nal.usda.gov/fdc-app.html#/food-details/172189/nutrients</t>
  </si>
  <si>
    <t>Canned Oysters, in water</t>
  </si>
  <si>
    <t>Shellfish</t>
  </si>
  <si>
    <t>https://fdc.nal.usda.gov/fdc-app.html#/food-details/171981/nutrients</t>
  </si>
  <si>
    <t>Blue/Black Mussels, cooked or canned</t>
  </si>
  <si>
    <t>https://fdc.nal.usda.gov/fdc-app.html#/food-details/174217/nutrients</t>
  </si>
  <si>
    <t>Beets, fully cooked</t>
  </si>
  <si>
    <t>Vegetable</t>
  </si>
  <si>
    <t>https://fdc.nal.usda.gov/fdc-app.html#/food-details/169146/nutrients</t>
  </si>
  <si>
    <t>Red Cabbage, raw pureed or steamed</t>
  </si>
  <si>
    <t>https://fdc.nal.usda.gov/fdc-app.html#/food-details/169977/nutrients</t>
  </si>
  <si>
    <t>Broccoli, raw pureed or steamed</t>
  </si>
  <si>
    <t>https://fdc.nal.usda.gov/fdc-app.html#/food-details/170379/nutrients</t>
  </si>
  <si>
    <t>Green Beans, raw pureed or steamed</t>
  </si>
  <si>
    <t>https://fdc.nal.usda.gov/fdc-app.html#/food-details/169961/nutrients</t>
  </si>
  <si>
    <t>Butternut Squash, fully cooked</t>
  </si>
  <si>
    <t>https://fdc.nal.usda.gov/fdc-app.html#/food-details/169296/nutrients</t>
  </si>
  <si>
    <t>Carrots, fully cooked</t>
  </si>
  <si>
    <t>https://fdc.nal.usda.gov/fdc-app.html#/food-details/170394/nutrients</t>
  </si>
  <si>
    <t>Homemade Bone Broth, no sodium</t>
  </si>
  <si>
    <t>https://fdc.nal.usda.gov/fdc-app.html#/food-details/172889/nutrients</t>
  </si>
  <si>
    <t>Coconut Water</t>
  </si>
  <si>
    <t>https://fdc.nal.usda.gov/fdc-app.html#/food-details/170174/nutrients</t>
  </si>
  <si>
    <t>Filtered Water, plain</t>
  </si>
  <si>
    <t>-</t>
  </si>
  <si>
    <t>Chicken or Duck Feet</t>
  </si>
  <si>
    <t>Raw Meaty Bone</t>
  </si>
  <si>
    <t>https://www.monicasegal.com/K9Kitchen_The_Truth_Behind_The-Hype.html; https://fdc.nal.usda.gov/fdc-app.html#/food-details/171119/nutrients; https://fdc.nal.usda.gov/fdc-app.html#/food-details/171452/nutrients</t>
  </si>
  <si>
    <t>Chicken Neck, skinless</t>
  </si>
  <si>
    <t>Chicken or Duck Wing</t>
  </si>
  <si>
    <t>Duck or Turkey Neck, skinless</t>
  </si>
  <si>
    <t>Rabbit, skinless, no organs</t>
  </si>
  <si>
    <t>Cottage Cheese, full fat, 4%</t>
  </si>
  <si>
    <t>Dairy</t>
  </si>
  <si>
    <t>https://fdc.nal.usda.gov/fdc-app.html#/food-details/172179/nutrients</t>
  </si>
  <si>
    <t>Kefir, homemade or store bought, plain</t>
  </si>
  <si>
    <t>Probiotics</t>
  </si>
  <si>
    <t>https://fdc.nal.usda.gov/fdc-app.html#/food-details/170904/nutrients</t>
  </si>
  <si>
    <t>Greek Yogurt, full fat, plain</t>
  </si>
  <si>
    <t>https://fdc.nal.usda.gov/fdc-app.html#/food-details/171304/nutrients</t>
  </si>
  <si>
    <t>Banana</t>
  </si>
  <si>
    <t>Fruit</t>
  </si>
  <si>
    <t>https://fdc.nal.usda.gov/fdc-app.html#/food-details/173944/nutrients</t>
  </si>
  <si>
    <t>Blueberries</t>
  </si>
  <si>
    <t>https://fdc.nal.usda.gov/fdc-app.html#/food-details/171711/nutrients</t>
  </si>
  <si>
    <t>Dynamic List Range</t>
  </si>
  <si>
    <t>RawMeatyBones</t>
  </si>
  <si>
    <t>MuscleMeat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</si>
</sst>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_(&quot;$&quot;* #,##0.00_);_(&quot;$&quot;* \(#,##0.00\);_(&quot;$&quot;* &quot;-&quot;??_);_(@_)"/>
    <numFmt numFmtId="166" formatCode="0.000%"/>
  </numFmts>
  <fonts count="27">
    <font>
      <sz val="10.0"/>
      <color rgb="FF000000"/>
      <name val="Arial"/>
    </font>
    <font>
      <sz val="10.0"/>
      <color theme="1"/>
      <name val="Arial"/>
    </font>
    <font>
      <b/>
      <sz val="18.0"/>
      <color theme="1"/>
      <name val="Arial"/>
    </font>
    <font/>
    <font>
      <b/>
      <sz val="10.0"/>
      <color rgb="FF7D9397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8.0"/>
      <color theme="1"/>
      <name val="Arial"/>
    </font>
    <font>
      <b/>
      <sz val="10.0"/>
      <color rgb="FFFFFFFF"/>
      <name val="Arial"/>
    </font>
    <font>
      <b/>
      <sz val="7.0"/>
      <color rgb="FFFFFFFF"/>
      <name val="Arial"/>
    </font>
    <font>
      <sz val="10.0"/>
      <color rgb="FF7D9397"/>
      <name val="Arial"/>
    </font>
    <font>
      <i/>
      <sz val="10.0"/>
      <color rgb="FF7D9397"/>
      <name val="Arial"/>
    </font>
    <font>
      <i/>
      <sz val="10.0"/>
      <color rgb="FF990000"/>
      <name val="Arial"/>
    </font>
    <font>
      <b/>
      <sz val="11.0"/>
      <color rgb="FFFFFFFF"/>
      <name val="Arial"/>
    </font>
    <font>
      <b/>
      <sz val="8.0"/>
      <color rgb="FFFFFFFF"/>
      <name val="Arial"/>
    </font>
    <font>
      <b/>
      <sz val="24.0"/>
      <color theme="1"/>
      <name val="Arial"/>
    </font>
    <font>
      <b/>
      <sz val="14.0"/>
      <color rgb="FFFFFFFF"/>
      <name val="Arial"/>
    </font>
    <font>
      <b/>
      <sz val="10.0"/>
      <color rgb="FFCCCCCC"/>
      <name val="Arial"/>
    </font>
    <font>
      <sz val="10.0"/>
      <color rgb="FFCCCCCC"/>
      <name val="Arial"/>
    </font>
    <font>
      <sz val="10.0"/>
      <color rgb="FFD9D9D9"/>
      <name val="Arial"/>
    </font>
    <font>
      <b/>
      <sz val="20.0"/>
      <color theme="1"/>
      <name val="Arial"/>
    </font>
    <font>
      <sz val="6.0"/>
      <color rgb="FFFFFFFF"/>
      <name val="Arial"/>
    </font>
    <font>
      <sz val="6.0"/>
      <color theme="1"/>
      <name val="Arial"/>
    </font>
    <font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1155CC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A3C0C4"/>
        <bgColor rgb="FFA3C0C4"/>
      </patternFill>
    </fill>
    <fill>
      <patternFill patternType="solid">
        <fgColor rgb="FF990000"/>
        <bgColor rgb="FF9900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DBE7E9"/>
        <bgColor rgb="FFDBE7E9"/>
      </patternFill>
    </fill>
    <fill>
      <patternFill patternType="solid">
        <fgColor rgb="FF759EA3"/>
        <bgColor rgb="FF759EA3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</fills>
  <borders count="129">
    <border/>
    <border>
      <bottom style="hair">
        <color rgb="FFA3C0C4"/>
      </bottom>
    </border>
    <border>
      <left style="thick">
        <color rgb="FF990000"/>
      </left>
      <top style="thick">
        <color rgb="FF990000"/>
      </top>
      <bottom style="hair">
        <color rgb="FF990000"/>
      </bottom>
    </border>
    <border>
      <right style="thick">
        <color rgb="FF990000"/>
      </right>
      <top style="thick">
        <color rgb="FF990000"/>
      </top>
      <bottom style="hair">
        <color rgb="FF990000"/>
      </bottom>
    </border>
    <border>
      <top style="hair">
        <color rgb="FFA3C0C4"/>
      </top>
      <bottom style="hair">
        <color rgb="FFA3C0C4"/>
      </bottom>
    </border>
    <border>
      <left style="thick">
        <color rgb="FF990000"/>
      </left>
      <top style="hair">
        <color rgb="FF990000"/>
      </top>
      <bottom style="hair">
        <color rgb="FF990000"/>
      </bottom>
    </border>
    <border>
      <right style="thick">
        <color rgb="FF990000"/>
      </right>
      <top style="hair">
        <color rgb="FF990000"/>
      </top>
      <bottom style="hair">
        <color rgb="FF990000"/>
      </bottom>
    </border>
    <border>
      <left style="thick">
        <color rgb="FF990000"/>
      </left>
      <top style="hair">
        <color rgb="FF990000"/>
      </top>
    </border>
    <border>
      <right style="thick">
        <color rgb="FF990000"/>
      </right>
      <top style="hair">
        <color rgb="FF990000"/>
      </top>
    </border>
    <border>
      <left style="thick">
        <color rgb="FF990000"/>
      </left>
      <top style="hair">
        <color rgb="FF990000"/>
      </top>
      <bottom style="thick">
        <color rgb="FF990000"/>
      </bottom>
    </border>
    <border>
      <right style="thick">
        <color rgb="FF990000"/>
      </right>
      <top style="hair">
        <color rgb="FF990000"/>
      </top>
      <bottom style="thick">
        <color rgb="FF990000"/>
      </bottom>
    </border>
    <border>
      <left style="thick">
        <color rgb="FFA3C0C4"/>
      </left>
      <top style="thick">
        <color rgb="FFA3C0C4"/>
      </top>
      <bottom style="thick">
        <color rgb="FFA3C0C4"/>
      </bottom>
    </border>
    <border>
      <right style="thick">
        <color rgb="FFA3C0C4"/>
      </right>
      <top style="thick">
        <color rgb="FFA3C0C4"/>
      </top>
      <bottom style="thick">
        <color rgb="FFA3C0C4"/>
      </bottom>
    </border>
    <border>
      <left style="thick">
        <color rgb="FFA3C0C4"/>
      </left>
      <right/>
      <top style="thick">
        <color rgb="FFA3C0C4"/>
      </top>
      <bottom style="thick">
        <color rgb="FFA3C0C4"/>
      </bottom>
    </border>
    <border>
      <left style="thick">
        <color rgb="FFA3C0C4"/>
      </left>
    </border>
    <border>
      <left style="thick">
        <color rgb="FF990000"/>
      </left>
      <right style="thick">
        <color rgb="FF990000"/>
      </right>
      <top style="thick">
        <color rgb="FF990000"/>
      </top>
    </border>
    <border>
      <left/>
      <top style="thick">
        <color rgb="FF990000"/>
      </top>
      <bottom style="hair">
        <color rgb="FF990000"/>
      </bottom>
    </border>
    <border>
      <top style="thick">
        <color rgb="FF990000"/>
      </top>
      <bottom style="hair">
        <color rgb="FF990000"/>
      </bottom>
    </border>
    <border>
      <left/>
      <right style="thick">
        <color rgb="FFA3C0C4"/>
      </right>
      <top/>
      <bottom/>
    </border>
    <border>
      <left/>
      <right/>
      <top style="thick">
        <color rgb="FFA3C0C4"/>
      </top>
      <bottom style="hair">
        <color rgb="FFA3C0C4"/>
      </bottom>
    </border>
    <border>
      <left/>
      <right/>
      <top style="thick">
        <color rgb="FFA3C0C4"/>
      </top>
      <bottom style="hair">
        <color rgb="FFB7B7B7"/>
      </bottom>
    </border>
    <border>
      <left/>
      <right/>
      <top/>
      <bottom style="hair">
        <color rgb="FFA3C0C4"/>
      </bottom>
    </border>
    <border>
      <left style="thick">
        <color rgb="FFA3C0C4"/>
      </left>
      <right/>
      <top style="thick">
        <color rgb="FFA3C0C4"/>
      </top>
      <bottom style="hair">
        <color rgb="FFA3C0C4"/>
      </bottom>
    </border>
    <border>
      <left style="thick">
        <color rgb="FF990000"/>
      </left>
      <right style="thick">
        <color rgb="FF990000"/>
      </right>
      <top style="thick">
        <color rgb="FF990000"/>
      </top>
      <bottom style="hair">
        <color rgb="FF990000"/>
      </bottom>
    </border>
    <border>
      <left/>
      <top style="thick">
        <color rgb="FFA3C0C4"/>
      </top>
      <bottom style="hair">
        <color rgb="FFA3C0C4"/>
      </bottom>
    </border>
    <border>
      <top style="thick">
        <color rgb="FFA3C0C4"/>
      </top>
      <bottom style="hair">
        <color rgb="FFA3C0C4"/>
      </bottom>
    </border>
    <border>
      <right/>
      <top style="thick">
        <color rgb="FFA3C0C4"/>
      </top>
      <bottom style="hair">
        <color rgb="FFA3C0C4"/>
      </bottom>
    </border>
    <border>
      <left style="thick">
        <color rgb="FF990000"/>
      </left>
      <right style="thick">
        <color rgb="FF990000"/>
      </right>
      <bottom style="thick">
        <color rgb="FF990000"/>
      </bottom>
    </border>
    <border>
      <left/>
      <top style="hair">
        <color rgb="FF990000"/>
      </top>
      <bottom style="thick">
        <color rgb="FF990000"/>
      </bottom>
    </border>
    <border>
      <top style="hair">
        <color rgb="FF990000"/>
      </top>
      <bottom style="thick">
        <color rgb="FF990000"/>
      </bottom>
    </border>
    <border>
      <left/>
      <right/>
      <top/>
      <bottom style="thin">
        <color rgb="FFA3C0C4"/>
      </bottom>
    </border>
    <border>
      <left/>
      <right/>
      <top style="hair">
        <color rgb="FFB7B7B7"/>
      </top>
      <bottom style="thin">
        <color rgb="FFA3C0C4"/>
      </bottom>
    </border>
    <border>
      <left style="thick">
        <color rgb="FFA3C0C4"/>
      </left>
      <right/>
      <top style="hair">
        <color rgb="FFA3C0C4"/>
      </top>
      <bottom style="thin">
        <color rgb="FFA3C0C4"/>
      </bottom>
    </border>
    <border>
      <left style="thick">
        <color rgb="FF990000"/>
      </left>
      <right style="thick">
        <color rgb="FF990000"/>
      </right>
      <top style="hair">
        <color rgb="FF990000"/>
      </top>
      <bottom style="thick">
        <color rgb="FF990000"/>
      </bottom>
    </border>
    <border>
      <left/>
      <right/>
      <top style="hair">
        <color rgb="FFA3C0C4"/>
      </top>
      <bottom style="thin">
        <color rgb="FFA3C0C4"/>
      </bottom>
    </border>
    <border>
      <left/>
      <top style="hair">
        <color rgb="FFA3C0C4"/>
      </top>
      <bottom style="thin">
        <color rgb="FFA3C0C4"/>
      </bottom>
    </border>
    <border>
      <top style="hair">
        <color rgb="FFA3C0C4"/>
      </top>
      <bottom style="thin">
        <color rgb="FFA3C0C4"/>
      </bottom>
    </border>
    <border>
      <right/>
      <top style="hair">
        <color rgb="FFA3C0C4"/>
      </top>
      <bottom style="thin">
        <color rgb="FFA3C0C4"/>
      </bottom>
    </border>
    <border>
      <bottom style="thin">
        <color rgb="FFA3C0C4"/>
      </bottom>
    </border>
    <border>
      <left style="thick">
        <color rgb="FFA3C0C4"/>
      </left>
      <right/>
      <top/>
      <bottom style="hair">
        <color rgb="FFA3C0C4"/>
      </bottom>
    </border>
    <border>
      <left/>
      <top/>
      <bottom style="hair">
        <color rgb="FFA3C0C4"/>
      </bottom>
    </border>
    <border>
      <top/>
      <bottom style="hair">
        <color rgb="FFA3C0C4"/>
      </bottom>
    </border>
    <border>
      <right/>
      <top/>
      <bottom style="hair">
        <color rgb="FFA3C0C4"/>
      </bottom>
    </border>
    <border>
      <left style="thick">
        <color rgb="FF990000"/>
      </left>
      <right style="thick">
        <color rgb="FF990000"/>
      </right>
    </border>
    <border>
      <left/>
      <top style="hair">
        <color rgb="FF990000"/>
      </top>
      <bottom style="hair">
        <color rgb="FF990000"/>
      </bottom>
    </border>
    <border>
      <top style="hair">
        <color rgb="FF990000"/>
      </top>
      <bottom style="hair">
        <color rgb="FF990000"/>
      </bottom>
    </border>
    <border>
      <left/>
      <right/>
      <top style="hair">
        <color rgb="FFA3C0C4"/>
      </top>
      <bottom style="hair">
        <color rgb="FFA3C0C4"/>
      </bottom>
    </border>
    <border>
      <left style="thick">
        <color rgb="FFA3C0C4"/>
      </left>
      <right/>
      <top style="hair">
        <color rgb="FFA3C0C4"/>
      </top>
      <bottom style="hair">
        <color rgb="FFA3C0C4"/>
      </bottom>
    </border>
    <border>
      <left style="thick">
        <color rgb="FF990000"/>
      </left>
      <right style="thick">
        <color rgb="FF990000"/>
      </right>
      <top style="hair">
        <color rgb="FF990000"/>
      </top>
      <bottom style="hair">
        <color rgb="FF990000"/>
      </bottom>
    </border>
    <border>
      <left/>
      <top style="hair">
        <color rgb="FFA3C0C4"/>
      </top>
      <bottom style="hair">
        <color rgb="FFA3C0C4"/>
      </bottom>
    </border>
    <border>
      <right/>
      <top style="hair">
        <color rgb="FFA3C0C4"/>
      </top>
      <bottom style="hair">
        <color rgb="FFA3C0C4"/>
      </bottom>
    </border>
    <border>
      <left style="thick">
        <color rgb="FF990000"/>
      </left>
      <top style="thick">
        <color rgb="FF990000"/>
      </top>
      <bottom style="thick">
        <color rgb="FF990000"/>
      </bottom>
    </border>
    <border>
      <top style="thick">
        <color rgb="FF990000"/>
      </top>
      <bottom style="thick">
        <color rgb="FF990000"/>
      </bottom>
    </border>
    <border>
      <right style="thick">
        <color rgb="FF990000"/>
      </right>
      <top style="thick">
        <color rgb="FF990000"/>
      </top>
      <bottom style="thick">
        <color rgb="FF990000"/>
      </bottom>
    </border>
    <border>
      <left style="thick">
        <color rgb="FF990000"/>
      </left>
      <top style="thin">
        <color rgb="FF990000"/>
      </top>
      <bottom style="thin">
        <color rgb="FF990000"/>
      </bottom>
    </border>
    <border>
      <top style="thin">
        <color rgb="FF990000"/>
      </top>
      <bottom style="thin">
        <color rgb="FF990000"/>
      </bottom>
    </border>
    <border>
      <right/>
      <top style="thin">
        <color rgb="FF990000"/>
      </top>
      <bottom style="thin">
        <color rgb="FF990000"/>
      </bottom>
    </border>
    <border>
      <left style="thick">
        <color rgb="FF990000"/>
      </left>
      <right style="thick">
        <color rgb="FF990000"/>
      </right>
      <top/>
      <bottom style="hair">
        <color rgb="FF990000"/>
      </bottom>
    </border>
    <border>
      <left/>
      <right/>
      <top style="hair">
        <color rgb="FFA3C0C4"/>
      </top>
      <bottom/>
    </border>
    <border>
      <left style="thick">
        <color rgb="FFA3C0C4"/>
      </left>
      <right/>
      <top style="thick">
        <color rgb="FFA3C0C4"/>
      </top>
      <bottom/>
    </border>
    <border>
      <left/>
      <right style="thick">
        <color rgb="FFA3C0C4"/>
      </right>
      <top style="thick">
        <color rgb="FFA3C0C4"/>
      </top>
      <bottom/>
    </border>
    <border>
      <left style="thick">
        <color rgb="FFA3C0C4"/>
      </left>
      <top/>
      <bottom style="thick">
        <color rgb="FFA3C0C4"/>
      </bottom>
    </border>
    <border>
      <right style="thick">
        <color rgb="FFA3C0C4"/>
      </right>
      <top/>
      <bottom style="thick">
        <color rgb="FFA3C0C4"/>
      </bottom>
    </border>
    <border>
      <left/>
      <right style="thick">
        <color rgb="FFA3C0C4"/>
      </right>
      <top/>
      <bottom style="thick">
        <color rgb="FFA3C0C4"/>
      </bottom>
    </border>
    <border>
      <top style="thick">
        <color rgb="FFA3C0C4"/>
      </top>
      <bottom style="thick">
        <color rgb="FFA3C0C4"/>
      </bottom>
    </border>
    <border>
      <top style="hair">
        <color rgb="FFA3C0C4"/>
      </top>
    </border>
    <border>
      <left style="thick">
        <color rgb="FFA3C0C4"/>
      </left>
      <right style="thick">
        <color rgb="FFA3C0C4"/>
      </right>
      <top/>
    </border>
    <border>
      <right style="thick">
        <color rgb="FFA3C0C4"/>
      </right>
    </border>
    <border>
      <left style="thick">
        <color rgb="FFA3C0C4"/>
      </left>
      <bottom style="thick">
        <color rgb="FFA3C0C4"/>
      </bottom>
    </border>
    <border>
      <bottom style="thick">
        <color rgb="FFA3C0C4"/>
      </bottom>
    </border>
    <border>
      <right style="thick">
        <color rgb="FFA3C0C4"/>
      </right>
      <bottom style="thick">
        <color rgb="FFA3C0C4"/>
      </bottom>
    </border>
    <border>
      <left style="thick">
        <color rgb="FFA3C0C4"/>
      </left>
      <right style="thick">
        <color rgb="FFA3C0C4"/>
      </right>
    </border>
    <border>
      <left/>
      <right style="hair">
        <color rgb="FFA3C0C4"/>
      </right>
      <top style="thick">
        <color rgb="FFA3C0C4"/>
      </top>
      <bottom style="double">
        <color rgb="FFA3C0C4"/>
      </bottom>
    </border>
    <border>
      <left style="hair">
        <color rgb="FFA3C0C4"/>
      </left>
      <right style="hair">
        <color rgb="FFA3C0C4"/>
      </right>
      <top style="thick">
        <color rgb="FFA3C0C4"/>
      </top>
      <bottom style="double">
        <color rgb="FFA3C0C4"/>
      </bottom>
    </border>
    <border>
      <left style="hair">
        <color rgb="FFA3C0C4"/>
      </left>
      <right style="hair">
        <color rgb="FFA3C0C4"/>
      </right>
      <top/>
      <bottom style="double">
        <color rgb="FFA3C0C4"/>
      </bottom>
    </border>
    <border>
      <left style="hair">
        <color rgb="FFA3C0C4"/>
      </left>
      <right/>
      <top/>
      <bottom style="double">
        <color rgb="FFA3C0C4"/>
      </bottom>
    </border>
    <border>
      <left style="hair">
        <color rgb="FFA3C0C4"/>
      </left>
      <right style="thick">
        <color rgb="FFA3C0C4"/>
      </right>
      <top style="thick">
        <color rgb="FFA3C0C4"/>
      </top>
      <bottom style="double">
        <color rgb="FFA3C0C4"/>
      </bottom>
    </border>
    <border>
      <right style="hair">
        <color rgb="FFA3C0C4"/>
      </right>
      <bottom style="hair">
        <color rgb="FFA3C0C4"/>
      </bottom>
    </border>
    <border>
      <left style="hair">
        <color rgb="FFA3C0C4"/>
      </left>
      <right style="hair">
        <color rgb="FFA3C0C4"/>
      </right>
      <bottom style="hair">
        <color rgb="FFA3C0C4"/>
      </bottom>
    </border>
    <border>
      <left style="hair">
        <color rgb="FFA3C0C4"/>
      </left>
      <bottom style="hair">
        <color rgb="FFA3C0C4"/>
      </bottom>
    </border>
    <border>
      <left style="hair">
        <color rgb="FFA3C0C4"/>
      </left>
      <right style="thick">
        <color rgb="FFA3C0C4"/>
      </right>
    </border>
    <border>
      <right style="hair">
        <color rgb="FFA3C0C4"/>
      </right>
      <bottom style="thick">
        <color rgb="FFA3C0C4"/>
      </bottom>
    </border>
    <border>
      <left style="hair">
        <color rgb="FFA3C0C4"/>
      </left>
      <right style="hair">
        <color rgb="FFA3C0C4"/>
      </right>
      <top style="hair">
        <color rgb="FFA3C0C4"/>
      </top>
      <bottom style="thick">
        <color rgb="FFA3C0C4"/>
      </bottom>
    </border>
    <border>
      <left style="hair">
        <color rgb="FFA3C0C4"/>
      </left>
      <right style="hair">
        <color rgb="FFA3C0C4"/>
      </right>
      <bottom style="thick">
        <color rgb="FFA3C0C4"/>
      </bottom>
    </border>
    <border>
      <left style="hair">
        <color rgb="FFA3C0C4"/>
      </left>
      <bottom style="thick">
        <color rgb="FFA3C0C4"/>
      </bottom>
    </border>
    <border>
      <left style="hair">
        <color rgb="FFA3C0C4"/>
      </left>
      <right style="thick">
        <color rgb="FFA3C0C4"/>
      </right>
      <bottom style="thick">
        <color rgb="FFA3C0C4"/>
      </bottom>
    </border>
    <border>
      <right style="thick">
        <color rgb="FFFFFFFF"/>
      </right>
    </border>
    <border>
      <left/>
      <right/>
      <top/>
      <bottom/>
    </border>
    <border>
      <left style="thick">
        <color rgb="FFA3C0C4"/>
      </left>
      <right style="thick">
        <color rgb="FFA3C0C4"/>
      </right>
      <bottom style="thick">
        <color rgb="FFA3C0C4"/>
      </bottom>
    </border>
    <border>
      <right/>
      <top style="thick">
        <color rgb="FFA3C0C4"/>
      </top>
      <bottom style="thick">
        <color rgb="FFA3C0C4"/>
      </bottom>
    </border>
    <border>
      <left style="hair">
        <color rgb="FFA3C0C4"/>
      </left>
      <top style="thick">
        <color rgb="FFA3C0C4"/>
      </top>
      <bottom style="thick">
        <color rgb="FFA3C0C4"/>
      </bottom>
    </border>
    <border>
      <left/>
      <top style="thick">
        <color rgb="FFA3C0C4"/>
      </top>
      <bottom style="thick">
        <color rgb="FFA3C0C4"/>
      </bottom>
    </border>
    <border>
      <left/>
      <top style="thick">
        <color rgb="FF759EA3"/>
      </top>
      <bottom style="thick">
        <color rgb="FF759EA3"/>
      </bottom>
    </border>
    <border>
      <right style="thick">
        <color rgb="FFA3C0C4"/>
      </right>
      <top style="thick">
        <color rgb="FF759EA3"/>
      </top>
      <bottom style="thick">
        <color rgb="FF759EA3"/>
      </bottom>
    </border>
    <border>
      <left style="thick">
        <color rgb="FF759EA3"/>
      </left>
      <top style="thick">
        <color rgb="FF759EA3"/>
      </top>
      <bottom style="thick">
        <color rgb="FF759EA3"/>
      </bottom>
    </border>
    <border>
      <left style="hair">
        <color rgb="FFA3C0C4"/>
      </left>
      <right/>
      <top/>
      <bottom style="hair">
        <color rgb="FFA3C0C4"/>
      </bottom>
    </border>
    <border>
      <left/>
      <right style="hair">
        <color rgb="FFA3C0C4"/>
      </right>
      <top/>
      <bottom style="hair">
        <color rgb="FFA3C0C4"/>
      </bottom>
    </border>
    <border>
      <left style="double">
        <color rgb="FF990000"/>
      </left>
      <right/>
      <top/>
      <bottom style="hair">
        <color rgb="FFA3C0C4"/>
      </bottom>
    </border>
    <border>
      <left/>
      <right style="double">
        <color rgb="FF990000"/>
      </right>
      <top/>
      <bottom style="hair">
        <color rgb="FFA3C0C4"/>
      </bottom>
    </border>
    <border>
      <left/>
      <right style="hair">
        <color rgb="FFA3C0C4"/>
      </right>
      <top style="hair">
        <color rgb="FFA3C0C4"/>
      </top>
      <bottom style="hair">
        <color rgb="FFA3C0C4"/>
      </bottom>
    </border>
    <border>
      <left style="hair">
        <color rgb="FFA3C0C4"/>
      </left>
      <right/>
      <top style="hair">
        <color rgb="FFA3C0C4"/>
      </top>
      <bottom style="hair">
        <color rgb="FFA3C0C4"/>
      </bottom>
    </border>
    <border>
      <left style="double">
        <color rgb="FF990000"/>
      </left>
      <right/>
      <top/>
      <bottom/>
    </border>
    <border>
      <left/>
      <right style="double">
        <color rgb="FF990000"/>
      </right>
      <top/>
      <bottom/>
    </border>
    <border>
      <left/>
      <right style="hair">
        <color rgb="FFA3C0C4"/>
      </right>
      <top style="hair">
        <color rgb="FFA3C0C4"/>
      </top>
      <bottom/>
    </border>
    <border>
      <left style="hair">
        <color rgb="FFA3C0C4"/>
      </left>
      <right/>
      <top style="hair">
        <color rgb="FFA3C0C4"/>
      </top>
      <bottom/>
    </border>
    <border>
      <right/>
      <top style="thick">
        <color rgb="FF759EA3"/>
      </top>
      <bottom style="thick">
        <color rgb="FF759EA3"/>
      </bottom>
    </border>
    <border>
      <left/>
      <right style="hair">
        <color rgb="FFA3C0C4"/>
      </right>
      <top/>
      <bottom/>
    </border>
    <border>
      <left style="double">
        <color rgb="FF990000"/>
      </left>
      <right/>
      <top/>
      <bottom style="double">
        <color rgb="FF990000"/>
      </bottom>
    </border>
    <border>
      <left/>
      <right style="double">
        <color rgb="FF990000"/>
      </right>
      <top/>
      <bottom style="double">
        <color rgb="FF990000"/>
      </bottom>
    </border>
    <border>
      <bottom style="hair">
        <color rgb="FF999999"/>
      </bottom>
    </border>
    <border>
      <top style="hair">
        <color rgb="FF999999"/>
      </top>
      <bottom style="hair">
        <color rgb="FF999999"/>
      </bottom>
    </border>
    <border>
      <top style="hair">
        <color rgb="FF999999"/>
      </top>
    </border>
    <border>
      <left/>
      <right style="hair">
        <color rgb="FF999999"/>
      </right>
      <top/>
      <bottom style="hair">
        <color rgb="FF999999"/>
      </bottom>
    </border>
    <border>
      <left style="hair">
        <color rgb="FF999999"/>
      </left>
      <right style="hair">
        <color rgb="FF999999"/>
      </right>
      <top/>
      <bottom style="hair">
        <color rgb="FF999999"/>
      </bottom>
    </border>
    <border>
      <left style="hair">
        <color rgb="FF999999"/>
      </left>
      <right/>
      <top/>
      <bottom style="hair">
        <color rgb="FF999999"/>
      </bottom>
    </border>
    <border>
      <right style="hair">
        <color rgb="FFB7B7B7"/>
      </right>
      <top style="hair">
        <color rgb="FF999999"/>
      </top>
      <bottom style="hair">
        <color rgb="FFB7B7B7"/>
      </bottom>
    </border>
    <border>
      <left style="hair">
        <color rgb="FFB7B7B7"/>
      </left>
      <right style="hair">
        <color rgb="FFB7B7B7"/>
      </right>
      <top style="hair">
        <color rgb="FF999999"/>
      </top>
      <bottom style="hair">
        <color rgb="FFB7B7B7"/>
      </bottom>
    </border>
    <border>
      <left style="hair">
        <color rgb="FFB7B7B7"/>
      </left>
      <top style="hair">
        <color rgb="FF999999"/>
      </top>
      <bottom style="hair">
        <color rgb="FFB7B7B7"/>
      </bottom>
    </border>
    <border>
      <right style="hair">
        <color rgb="FFB7B7B7"/>
      </right>
      <top style="hair">
        <color rgb="FFB7B7B7"/>
      </top>
      <bottom style="hair">
        <color rgb="FFB7B7B7"/>
      </bottom>
    </border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</border>
    <border>
      <left style="hair">
        <color rgb="FFB7B7B7"/>
      </left>
      <top style="hair">
        <color rgb="FFB7B7B7"/>
      </top>
      <bottom style="hair">
        <color rgb="FFB7B7B7"/>
      </bottom>
    </border>
    <border>
      <right style="hair">
        <color rgb="FFB7B7B7"/>
      </right>
      <top style="hair">
        <color rgb="FFB7B7B7"/>
      </top>
    </border>
    <border>
      <left style="hair">
        <color rgb="FFB7B7B7"/>
      </left>
      <right style="hair">
        <color rgb="FFB7B7B7"/>
      </right>
      <top style="hair">
        <color rgb="FFB7B7B7"/>
      </top>
    </border>
    <border>
      <left style="hair">
        <color rgb="FFB7B7B7"/>
      </left>
      <top style="hair">
        <color rgb="FFB7B7B7"/>
      </top>
    </border>
    <border>
      <right style="hair">
        <color rgb="FFB7B7B7"/>
      </right>
      <bottom style="hair">
        <color rgb="FFB7B7B7"/>
      </bottom>
    </border>
    <border>
      <left style="hair">
        <color rgb="FFB7B7B7"/>
      </left>
      <bottom style="hair">
        <color rgb="FFB7B7B7"/>
      </bottom>
    </border>
    <border>
      <left/>
      <right style="hair">
        <color rgb="FFB7B7B7"/>
      </right>
      <top/>
      <bottom style="double">
        <color rgb="FFB7B7B7"/>
      </bottom>
    </border>
    <border>
      <left style="hair">
        <color rgb="FFB7B7B7"/>
      </left>
      <right/>
      <top/>
      <bottom style="double">
        <color rgb="FFB7B7B7"/>
      </bottom>
    </border>
    <border>
      <left style="thick">
        <color rgb="FF990000"/>
      </left>
      <right style="thick">
        <color rgb="FF990000"/>
      </right>
      <top/>
      <bottom style="double">
        <color rgb="FFB7B7B7"/>
      </bottom>
    </border>
  </borders>
  <cellStyleXfs count="1">
    <xf borderId="0" fillId="0" fontId="0" numFmtId="0" applyAlignment="1" applyFont="1"/>
  </cellStyleXfs>
  <cellXfs count="3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1" fillId="0" fontId="2" numFmtId="0" xfId="0" applyAlignment="1" applyBorder="1" applyFont="1">
      <alignment horizontal="left" shrinkToFit="0" vertical="center" wrapText="1"/>
    </xf>
    <xf borderId="1" fillId="0" fontId="3" numFmtId="0" xfId="0" applyBorder="1" applyFont="1"/>
    <xf borderId="1" fillId="0" fontId="4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center" vertical="center"/>
    </xf>
    <xf borderId="3" fillId="0" fontId="3" numFmtId="0" xfId="0" applyBorder="1" applyFont="1"/>
    <xf borderId="4" fillId="0" fontId="4" numFmtId="0" xfId="0" applyAlignment="1" applyBorder="1" applyFont="1">
      <alignment horizontal="left" vertical="center"/>
    </xf>
    <xf borderId="4" fillId="0" fontId="3" numFmtId="0" xfId="0" applyBorder="1" applyFont="1"/>
    <xf borderId="4" fillId="0" fontId="5" numFmtId="0" xfId="0" applyAlignment="1" applyBorder="1" applyFont="1">
      <alignment horizontal="right" vertical="center"/>
    </xf>
    <xf borderId="1" fillId="0" fontId="5" numFmtId="0" xfId="0" applyAlignment="1" applyBorder="1" applyFont="1">
      <alignment horizontal="right" vertical="center"/>
    </xf>
    <xf borderId="5" fillId="0" fontId="5" numFmtId="0" xfId="0" applyAlignment="1" applyBorder="1" applyFont="1">
      <alignment horizontal="right" vertical="center"/>
    </xf>
    <xf borderId="6" fillId="0" fontId="5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right" vertical="center"/>
    </xf>
    <xf borderId="8" fillId="0" fontId="5" numFmtId="0" xfId="0" applyAlignment="1" applyBorder="1" applyFont="1">
      <alignment horizontal="left" vertical="center"/>
    </xf>
    <xf borderId="5" fillId="0" fontId="6" numFmtId="9" xfId="0" applyAlignment="1" applyBorder="1" applyFont="1" applyNumberFormat="1">
      <alignment horizontal="center" vertical="center"/>
    </xf>
    <xf borderId="6" fillId="0" fontId="3" numFmtId="0" xfId="0" applyBorder="1" applyFont="1"/>
    <xf borderId="9" fillId="0" fontId="5" numFmtId="0" xfId="0" applyAlignment="1" applyBorder="1" applyFont="1">
      <alignment horizontal="right" vertical="center"/>
    </xf>
    <xf borderId="10" fillId="0" fontId="5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11" fillId="2" fontId="8" numFmtId="0" xfId="0" applyAlignment="1" applyBorder="1" applyFill="1" applyFont="1">
      <alignment horizontal="center" vertical="center"/>
    </xf>
    <xf borderId="12" fillId="0" fontId="3" numFmtId="0" xfId="0" applyBorder="1" applyFont="1"/>
    <xf borderId="13" fillId="2" fontId="8" numFmtId="0" xfId="0" applyAlignment="1" applyBorder="1" applyFont="1">
      <alignment horizontal="center" vertical="center"/>
    </xf>
    <xf borderId="14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center" vertical="center"/>
    </xf>
    <xf borderId="15" fillId="3" fontId="9" numFmtId="0" xfId="0" applyAlignment="1" applyBorder="1" applyFill="1" applyFont="1">
      <alignment horizontal="center" textRotation="90" vertical="center"/>
    </xf>
    <xf borderId="16" fillId="4" fontId="5" numFmtId="0" xfId="0" applyAlignment="1" applyBorder="1" applyFill="1" applyFont="1">
      <alignment vertical="center"/>
    </xf>
    <xf borderId="17" fillId="0" fontId="3" numFmtId="0" xfId="0" applyBorder="1" applyFont="1"/>
    <xf borderId="18" fillId="4" fontId="5" numFmtId="164" xfId="0" applyAlignment="1" applyBorder="1" applyFont="1" applyNumberFormat="1">
      <alignment horizontal="right" vertical="center"/>
    </xf>
    <xf borderId="19" fillId="4" fontId="5" numFmtId="164" xfId="0" applyAlignment="1" applyBorder="1" applyFont="1" applyNumberFormat="1">
      <alignment horizontal="right" vertical="center"/>
    </xf>
    <xf borderId="20" fillId="4" fontId="5" numFmtId="0" xfId="0" applyAlignment="1" applyBorder="1" applyFont="1">
      <alignment horizontal="left" vertical="center"/>
    </xf>
    <xf borderId="21" fillId="4" fontId="5" numFmtId="165" xfId="0" applyAlignment="1" applyBorder="1" applyFont="1" applyNumberFormat="1">
      <alignment horizontal="left" vertical="center"/>
    </xf>
    <xf borderId="22" fillId="4" fontId="10" numFmtId="165" xfId="0" applyAlignment="1" applyBorder="1" applyFont="1" applyNumberFormat="1">
      <alignment horizontal="left" vertical="center"/>
    </xf>
    <xf borderId="23" fillId="4" fontId="10" numFmtId="165" xfId="0" applyAlignment="1" applyBorder="1" applyFont="1" applyNumberFormat="1">
      <alignment horizontal="left" vertical="center"/>
    </xf>
    <xf borderId="19" fillId="4" fontId="10" numFmtId="0" xfId="0" applyAlignment="1" applyBorder="1" applyFont="1">
      <alignment horizontal="center" vertical="center"/>
    </xf>
    <xf borderId="19" fillId="4" fontId="10" numFmtId="0" xfId="0" applyAlignment="1" applyBorder="1" applyFont="1">
      <alignment horizontal="left" vertical="center"/>
    </xf>
    <xf borderId="24" fillId="4" fontId="11" numFmtId="0" xfId="0" applyAlignment="1" applyBorder="1" applyFont="1">
      <alignment horizontal="left" vertical="center"/>
    </xf>
    <xf borderId="25" fillId="0" fontId="3" numFmtId="0" xfId="0" applyBorder="1" applyFont="1"/>
    <xf borderId="26" fillId="0" fontId="3" numFmtId="0" xfId="0" applyBorder="1" applyFont="1"/>
    <xf borderId="27" fillId="0" fontId="3" numFmtId="0" xfId="0" applyBorder="1" applyFont="1"/>
    <xf borderId="28" fillId="5" fontId="5" numFmtId="0" xfId="0" applyAlignment="1" applyBorder="1" applyFill="1" applyFont="1">
      <alignment vertical="center"/>
    </xf>
    <xf borderId="29" fillId="0" fontId="3" numFmtId="0" xfId="0" applyBorder="1" applyFont="1"/>
    <xf borderId="10" fillId="0" fontId="3" numFmtId="0" xfId="0" applyBorder="1" applyFont="1"/>
    <xf borderId="18" fillId="5" fontId="5" numFmtId="164" xfId="0" applyAlignment="1" applyBorder="1" applyFont="1" applyNumberFormat="1">
      <alignment horizontal="right" vertical="center"/>
    </xf>
    <xf borderId="30" fillId="5" fontId="5" numFmtId="164" xfId="0" applyAlignment="1" applyBorder="1" applyFont="1" applyNumberFormat="1">
      <alignment horizontal="right" vertical="center"/>
    </xf>
    <xf borderId="31" fillId="5" fontId="5" numFmtId="0" xfId="0" applyAlignment="1" applyBorder="1" applyFont="1">
      <alignment horizontal="left" vertical="center"/>
    </xf>
    <xf borderId="30" fillId="5" fontId="5" numFmtId="165" xfId="0" applyAlignment="1" applyBorder="1" applyFont="1" applyNumberFormat="1">
      <alignment horizontal="left" vertical="center"/>
    </xf>
    <xf borderId="32" fillId="5" fontId="10" numFmtId="165" xfId="0" applyAlignment="1" applyBorder="1" applyFont="1" applyNumberFormat="1">
      <alignment horizontal="left" vertical="center"/>
    </xf>
    <xf borderId="33" fillId="5" fontId="10" numFmtId="165" xfId="0" applyAlignment="1" applyBorder="1" applyFont="1" applyNumberFormat="1">
      <alignment horizontal="left" vertical="center"/>
    </xf>
    <xf borderId="34" fillId="5" fontId="10" numFmtId="0" xfId="0" applyAlignment="1" applyBorder="1" applyFont="1">
      <alignment horizontal="center" vertical="center"/>
    </xf>
    <xf borderId="34" fillId="5" fontId="10" numFmtId="0" xfId="0" applyAlignment="1" applyBorder="1" applyFont="1">
      <alignment horizontal="left" vertical="center"/>
    </xf>
    <xf borderId="35" fillId="5" fontId="11" numFmtId="0" xfId="0" applyAlignment="1" applyBorder="1" applyFont="1">
      <alignment horizontal="left" vertical="center"/>
    </xf>
    <xf borderId="36" fillId="0" fontId="3" numFmtId="0" xfId="0" applyBorder="1" applyFont="1"/>
    <xf borderId="37" fillId="0" fontId="3" numFmtId="0" xfId="0" applyBorder="1" applyFont="1"/>
    <xf borderId="38" fillId="0" fontId="5" numFmtId="0" xfId="0" applyAlignment="1" applyBorder="1" applyFont="1">
      <alignment vertical="center"/>
    </xf>
    <xf borderId="38" fillId="0" fontId="3" numFmtId="0" xfId="0" applyBorder="1" applyFont="1"/>
    <xf borderId="15" fillId="3" fontId="9" numFmtId="0" xfId="0" applyAlignment="1" applyBorder="1" applyFont="1">
      <alignment horizontal="center" shrinkToFit="0" textRotation="90" vertical="center" wrapText="1"/>
    </xf>
    <xf borderId="21" fillId="4" fontId="5" numFmtId="164" xfId="0" applyAlignment="1" applyBorder="1" applyFont="1" applyNumberFormat="1">
      <alignment horizontal="right" vertical="center"/>
    </xf>
    <xf borderId="21" fillId="4" fontId="5" numFmtId="0" xfId="0" applyAlignment="1" applyBorder="1" applyFont="1">
      <alignment horizontal="left" vertical="center"/>
    </xf>
    <xf borderId="39" fillId="4" fontId="10" numFmtId="165" xfId="0" applyAlignment="1" applyBorder="1" applyFont="1" applyNumberFormat="1">
      <alignment horizontal="left" vertical="center"/>
    </xf>
    <xf borderId="21" fillId="4" fontId="10" numFmtId="0" xfId="0" applyAlignment="1" applyBorder="1" applyFont="1">
      <alignment horizontal="center" vertical="center"/>
    </xf>
    <xf borderId="21" fillId="4" fontId="10" numFmtId="0" xfId="0" applyAlignment="1" applyBorder="1" applyFont="1">
      <alignment horizontal="left" vertical="center"/>
    </xf>
    <xf borderId="40" fillId="4" fontId="11" numFmtId="0" xfId="0" applyAlignment="1" applyBorder="1" applyFont="1">
      <alignment horizontal="left" vertical="center"/>
    </xf>
    <xf borderId="41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4" fillId="5" fontId="5" numFmtId="0" xfId="0" applyAlignment="1" applyBorder="1" applyFont="1">
      <alignment vertical="center"/>
    </xf>
    <xf borderId="45" fillId="0" fontId="3" numFmtId="0" xfId="0" applyBorder="1" applyFont="1"/>
    <xf borderId="46" fillId="5" fontId="5" numFmtId="164" xfId="0" applyAlignment="1" applyBorder="1" applyFont="1" applyNumberFormat="1">
      <alignment horizontal="right" vertical="center"/>
    </xf>
    <xf borderId="46" fillId="5" fontId="5" numFmtId="0" xfId="0" applyAlignment="1" applyBorder="1" applyFont="1">
      <alignment horizontal="left" vertical="center"/>
    </xf>
    <xf borderId="21" fillId="5" fontId="5" numFmtId="165" xfId="0" applyAlignment="1" applyBorder="1" applyFont="1" applyNumberFormat="1">
      <alignment horizontal="left" vertical="center"/>
    </xf>
    <xf borderId="47" fillId="5" fontId="10" numFmtId="165" xfId="0" applyAlignment="1" applyBorder="1" applyFont="1" applyNumberFormat="1">
      <alignment horizontal="left" vertical="center"/>
    </xf>
    <xf borderId="48" fillId="5" fontId="10" numFmtId="165" xfId="0" applyAlignment="1" applyBorder="1" applyFont="1" applyNumberFormat="1">
      <alignment horizontal="left" vertical="center"/>
    </xf>
    <xf borderId="46" fillId="5" fontId="10" numFmtId="0" xfId="0" applyAlignment="1" applyBorder="1" applyFont="1">
      <alignment horizontal="center" vertical="center"/>
    </xf>
    <xf borderId="46" fillId="5" fontId="10" numFmtId="0" xfId="0" applyAlignment="1" applyBorder="1" applyFont="1">
      <alignment horizontal="left" vertical="center"/>
    </xf>
    <xf borderId="49" fillId="5" fontId="11" numFmtId="0" xfId="0" applyAlignment="1" applyBorder="1" applyFont="1">
      <alignment horizontal="left" vertical="center"/>
    </xf>
    <xf borderId="50" fillId="0" fontId="3" numFmtId="0" xfId="0" applyBorder="1" applyFont="1"/>
    <xf borderId="28" fillId="4" fontId="5" numFmtId="0" xfId="0" applyAlignment="1" applyBorder="1" applyFont="1">
      <alignment vertical="center"/>
    </xf>
    <xf borderId="34" fillId="4" fontId="5" numFmtId="164" xfId="0" applyAlignment="1" applyBorder="1" applyFont="1" applyNumberFormat="1">
      <alignment horizontal="right" vertical="center"/>
    </xf>
    <xf borderId="34" fillId="4" fontId="5" numFmtId="0" xfId="0" applyAlignment="1" applyBorder="1" applyFont="1">
      <alignment horizontal="left" vertical="center"/>
    </xf>
    <xf borderId="34" fillId="4" fontId="5" numFmtId="165" xfId="0" applyAlignment="1" applyBorder="1" applyFont="1" applyNumberFormat="1">
      <alignment horizontal="left" vertical="center"/>
    </xf>
    <xf borderId="32" fillId="4" fontId="10" numFmtId="165" xfId="0" applyAlignment="1" applyBorder="1" applyFont="1" applyNumberFormat="1">
      <alignment horizontal="left" vertical="center"/>
    </xf>
    <xf borderId="33" fillId="4" fontId="10" numFmtId="165" xfId="0" applyAlignment="1" applyBorder="1" applyFont="1" applyNumberFormat="1">
      <alignment horizontal="left" vertical="center"/>
    </xf>
    <xf borderId="34" fillId="4" fontId="10" numFmtId="0" xfId="0" applyAlignment="1" applyBorder="1" applyFont="1">
      <alignment horizontal="center" vertical="center"/>
    </xf>
    <xf borderId="34" fillId="4" fontId="10" numFmtId="0" xfId="0" applyAlignment="1" applyBorder="1" applyFont="1">
      <alignment horizontal="left" vertical="center"/>
    </xf>
    <xf borderId="35" fillId="4" fontId="11" numFmtId="0" xfId="0" applyAlignment="1" applyBorder="1" applyFont="1">
      <alignment horizontal="left" vertical="center"/>
    </xf>
    <xf borderId="16" fillId="5" fontId="5" numFmtId="0" xfId="0" applyAlignment="1" applyBorder="1" applyFont="1">
      <alignment vertical="center"/>
    </xf>
    <xf borderId="21" fillId="5" fontId="5" numFmtId="164" xfId="0" applyAlignment="1" applyBorder="1" applyFont="1" applyNumberFormat="1">
      <alignment horizontal="right" vertical="center"/>
    </xf>
    <xf borderId="46" fillId="5" fontId="5" numFmtId="165" xfId="0" applyAlignment="1" applyBorder="1" applyFont="1" applyNumberFormat="1">
      <alignment horizontal="left" vertical="center"/>
    </xf>
    <xf borderId="23" fillId="5" fontId="10" numFmtId="165" xfId="0" applyAlignment="1" applyBorder="1" applyFont="1" applyNumberFormat="1">
      <alignment horizontal="left" vertical="center"/>
    </xf>
    <xf borderId="40" fillId="5" fontId="11" numFmtId="0" xfId="0" applyAlignment="1" applyBorder="1" applyFont="1">
      <alignment horizontal="left" vertical="center"/>
    </xf>
    <xf borderId="44" fillId="4" fontId="5" numFmtId="0" xfId="0" applyAlignment="1" applyBorder="1" applyFont="1">
      <alignment vertical="center"/>
    </xf>
    <xf borderId="46" fillId="4" fontId="5" numFmtId="0" xfId="0" applyAlignment="1" applyBorder="1" applyFont="1">
      <alignment horizontal="left" vertical="center"/>
    </xf>
    <xf borderId="46" fillId="4" fontId="5" numFmtId="165" xfId="0" applyAlignment="1" applyBorder="1" applyFont="1" applyNumberFormat="1">
      <alignment horizontal="left" vertical="center"/>
    </xf>
    <xf borderId="47" fillId="4" fontId="10" numFmtId="165" xfId="0" applyAlignment="1" applyBorder="1" applyFont="1" applyNumberFormat="1">
      <alignment horizontal="left" vertical="center"/>
    </xf>
    <xf borderId="48" fillId="4" fontId="10" numFmtId="165" xfId="0" applyAlignment="1" applyBorder="1" applyFont="1" applyNumberFormat="1">
      <alignment horizontal="left" vertical="center"/>
    </xf>
    <xf borderId="46" fillId="4" fontId="10" numFmtId="0" xfId="0" applyAlignment="1" applyBorder="1" applyFont="1">
      <alignment horizontal="center" vertical="center"/>
    </xf>
    <xf borderId="46" fillId="4" fontId="10" numFmtId="0" xfId="0" applyAlignment="1" applyBorder="1" applyFont="1">
      <alignment horizontal="left" vertical="center"/>
    </xf>
    <xf borderId="49" fillId="4" fontId="11" numFmtId="0" xfId="0" applyAlignment="1" applyBorder="1" applyFont="1">
      <alignment horizontal="left" vertical="center"/>
    </xf>
    <xf borderId="34" fillId="5" fontId="5" numFmtId="0" xfId="0" applyAlignment="1" applyBorder="1" applyFont="1">
      <alignment horizontal="left" vertical="center"/>
    </xf>
    <xf borderId="34" fillId="5" fontId="5" numFmtId="165" xfId="0" applyAlignment="1" applyBorder="1" applyFont="1" applyNumberFormat="1">
      <alignment horizontal="left" vertical="center"/>
    </xf>
    <xf borderId="30" fillId="4" fontId="5" numFmtId="164" xfId="0" applyAlignment="1" applyBorder="1" applyFont="1" applyNumberFormat="1">
      <alignment horizontal="right" vertical="center"/>
    </xf>
    <xf borderId="51" fillId="6" fontId="5" numFmtId="0" xfId="0" applyAlignment="1" applyBorder="1" applyFill="1" applyFont="1">
      <alignment readingOrder="0" vertical="center"/>
    </xf>
    <xf borderId="52" fillId="0" fontId="3" numFmtId="0" xfId="0" applyBorder="1" applyFont="1"/>
    <xf borderId="53" fillId="0" fontId="3" numFmtId="0" xfId="0" applyBorder="1" applyFont="1"/>
    <xf borderId="0" fillId="0" fontId="5" numFmtId="164" xfId="0" applyAlignment="1" applyFont="1" applyNumberFormat="1">
      <alignment horizontal="right" vertical="center"/>
    </xf>
    <xf borderId="54" fillId="6" fontId="12" numFmtId="164" xfId="0" applyAlignment="1" applyBorder="1" applyFont="1" applyNumberFormat="1">
      <alignment horizontal="left" vertical="center"/>
    </xf>
    <xf borderId="55" fillId="0" fontId="3" numFmtId="0" xfId="0" applyBorder="1" applyFont="1"/>
    <xf borderId="56" fillId="0" fontId="3" numFmtId="0" xfId="0" applyBorder="1" applyFont="1"/>
    <xf borderId="21" fillId="5" fontId="5" numFmtId="0" xfId="0" applyAlignment="1" applyBorder="1" applyFont="1">
      <alignment horizontal="left" vertical="center"/>
    </xf>
    <xf borderId="39" fillId="5" fontId="10" numFmtId="165" xfId="0" applyAlignment="1" applyBorder="1" applyFont="1" applyNumberFormat="1">
      <alignment horizontal="left" vertical="center"/>
    </xf>
    <xf borderId="57" fillId="5" fontId="10" numFmtId="165" xfId="0" applyAlignment="1" applyBorder="1" applyFont="1" applyNumberFormat="1">
      <alignment horizontal="left" vertical="center"/>
    </xf>
    <xf borderId="21" fillId="5" fontId="10" numFmtId="0" xfId="0" applyAlignment="1" applyBorder="1" applyFont="1">
      <alignment horizontal="center" vertical="center"/>
    </xf>
    <xf borderId="21" fillId="5" fontId="10" numFmtId="0" xfId="0" applyAlignment="1" applyBorder="1" applyFont="1">
      <alignment horizontal="left" vertical="center"/>
    </xf>
    <xf borderId="58" fillId="5" fontId="5" numFmtId="0" xfId="0" applyAlignment="1" applyBorder="1" applyFont="1">
      <alignment horizontal="left" vertical="center"/>
    </xf>
    <xf borderId="58" fillId="5" fontId="5" numFmtId="165" xfId="0" applyAlignment="1" applyBorder="1" applyFont="1" applyNumberFormat="1">
      <alignment horizontal="left" vertical="center"/>
    </xf>
    <xf borderId="0" fillId="0" fontId="13" numFmtId="1" xfId="0" applyAlignment="1" applyFont="1" applyNumberFormat="1">
      <alignment horizontal="right" vertical="center"/>
    </xf>
    <xf borderId="59" fillId="2" fontId="13" numFmtId="1" xfId="0" applyAlignment="1" applyBorder="1" applyFont="1" applyNumberFormat="1">
      <alignment horizontal="right" vertical="center"/>
    </xf>
    <xf borderId="60" fillId="2" fontId="13" numFmtId="0" xfId="0" applyAlignment="1" applyBorder="1" applyFont="1">
      <alignment vertical="center"/>
    </xf>
    <xf borderId="60" fillId="2" fontId="13" numFmtId="165" xfId="0" applyAlignment="1" applyBorder="1" applyFont="1" applyNumberFormat="1">
      <alignment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61" fillId="2" fontId="14" numFmtId="0" xfId="0" applyAlignment="1" applyBorder="1" applyFont="1">
      <alignment horizontal="center" vertical="center"/>
    </xf>
    <xf borderId="62" fillId="0" fontId="3" numFmtId="0" xfId="0" applyBorder="1" applyFont="1"/>
    <xf borderId="63" fillId="2" fontId="14" numFmtId="0" xfId="0" applyAlignment="1" applyBorder="1" applyFont="1">
      <alignment horizontal="center" vertical="center"/>
    </xf>
    <xf borderId="0" fillId="0" fontId="15" numFmtId="0" xfId="0" applyAlignment="1" applyFont="1">
      <alignment horizontal="left" shrinkToFit="0" vertical="center" wrapText="1"/>
    </xf>
    <xf borderId="64" fillId="0" fontId="3" numFmtId="0" xfId="0" applyBorder="1" applyFont="1"/>
    <xf borderId="1" fillId="0" fontId="1" numFmtId="0" xfId="0" applyBorder="1" applyFont="1"/>
    <xf borderId="0" fillId="0" fontId="4" numFmtId="9" xfId="0" applyAlignment="1" applyFont="1" applyNumberFormat="1">
      <alignment horizontal="center" vertical="center"/>
    </xf>
    <xf borderId="1" fillId="0" fontId="5" numFmtId="0" xfId="0" applyAlignment="1" applyBorder="1" applyFont="1">
      <alignment vertical="center"/>
    </xf>
    <xf borderId="4" fillId="0" fontId="1" numFmtId="0" xfId="0" applyBorder="1" applyFont="1"/>
    <xf borderId="4" fillId="0" fontId="4" numFmtId="9" xfId="0" applyAlignment="1" applyBorder="1" applyFont="1" applyNumberFormat="1">
      <alignment horizontal="center"/>
    </xf>
    <xf borderId="4" fillId="0" fontId="5" numFmtId="0" xfId="0" applyAlignment="1" applyBorder="1" applyFont="1">
      <alignment vertical="center"/>
    </xf>
    <xf borderId="65" fillId="0" fontId="1" numFmtId="0" xfId="0" applyBorder="1" applyFont="1"/>
    <xf borderId="4" fillId="0" fontId="1" numFmtId="0" xfId="0" applyAlignment="1" applyBorder="1" applyFont="1">
      <alignment vertical="center"/>
    </xf>
    <xf borderId="1" fillId="0" fontId="4" numFmtId="9" xfId="0" applyAlignment="1" applyBorder="1" applyFont="1" applyNumberFormat="1">
      <alignment horizontal="center" vertical="center"/>
    </xf>
    <xf borderId="4" fillId="0" fontId="5" numFmtId="1" xfId="0" applyAlignment="1" applyBorder="1" applyFont="1" applyNumberFormat="1">
      <alignment horizontal="right" vertical="center"/>
    </xf>
    <xf borderId="4" fillId="0" fontId="5" numFmtId="0" xfId="0" applyAlignment="1" applyBorder="1" applyFont="1">
      <alignment horizontal="left" vertical="center"/>
    </xf>
    <xf borderId="65" fillId="0" fontId="4" numFmtId="0" xfId="0" applyAlignment="1" applyBorder="1" applyFont="1">
      <alignment horizontal="left" vertical="center"/>
    </xf>
    <xf borderId="65" fillId="0" fontId="1" numFmtId="0" xfId="0" applyAlignment="1" applyBorder="1" applyFont="1">
      <alignment vertical="center"/>
    </xf>
    <xf borderId="65" fillId="0" fontId="5" numFmtId="1" xfId="0" applyAlignment="1" applyBorder="1" applyFont="1" applyNumberFormat="1">
      <alignment horizontal="right" vertical="center"/>
    </xf>
    <xf borderId="65" fillId="0" fontId="8" numFmtId="0" xfId="0" applyAlignment="1" applyBorder="1" applyFont="1">
      <alignment horizontal="left" vertical="center"/>
    </xf>
    <xf borderId="66" fillId="2" fontId="16" numFmtId="0" xfId="0" applyAlignment="1" applyBorder="1" applyFont="1">
      <alignment horizontal="center" textRotation="90" vertical="center"/>
    </xf>
    <xf borderId="67" fillId="0" fontId="3" numFmtId="0" xfId="0" applyBorder="1" applyFont="1"/>
    <xf borderId="68" fillId="0" fontId="7" numFmtId="2" xfId="0" applyAlignment="1" applyBorder="1" applyFont="1" applyNumberFormat="1">
      <alignment horizontal="center" vertical="center"/>
    </xf>
    <xf borderId="69" fillId="0" fontId="3" numFmtId="0" xfId="0" applyBorder="1" applyFont="1"/>
    <xf borderId="70" fillId="0" fontId="3" numFmtId="0" xfId="0" applyBorder="1" applyFont="1"/>
    <xf borderId="69" fillId="0" fontId="7" numFmtId="164" xfId="0" applyAlignment="1" applyBorder="1" applyFont="1" applyNumberFormat="1">
      <alignment horizontal="center" vertical="center"/>
    </xf>
    <xf borderId="71" fillId="0" fontId="3" numFmtId="0" xfId="0" applyBorder="1" applyFont="1"/>
    <xf borderId="72" fillId="7" fontId="1" numFmtId="0" xfId="0" applyAlignment="1" applyBorder="1" applyFill="1" applyFont="1">
      <alignment horizontal="left" vertical="center"/>
    </xf>
    <xf borderId="73" fillId="7" fontId="5" numFmtId="0" xfId="0" applyAlignment="1" applyBorder="1" applyFont="1">
      <alignment horizontal="left" vertical="center"/>
    </xf>
    <xf borderId="74" fillId="7" fontId="17" numFmtId="2" xfId="0" applyAlignment="1" applyBorder="1" applyFont="1" applyNumberFormat="1">
      <alignment horizontal="right" vertical="center"/>
    </xf>
    <xf borderId="74" fillId="7" fontId="18" numFmtId="1" xfId="0" applyAlignment="1" applyBorder="1" applyFont="1" applyNumberFormat="1">
      <alignment horizontal="left" vertical="center"/>
    </xf>
    <xf borderId="74" fillId="7" fontId="18" numFmtId="164" xfId="0" applyAlignment="1" applyBorder="1" applyFont="1" applyNumberFormat="1">
      <alignment horizontal="right" vertical="center"/>
    </xf>
    <xf borderId="73" fillId="7" fontId="18" numFmtId="164" xfId="0" applyAlignment="1" applyBorder="1" applyFont="1" applyNumberFormat="1">
      <alignment horizontal="left" vertical="center"/>
    </xf>
    <xf borderId="75" fillId="7" fontId="18" numFmtId="1" xfId="0" applyAlignment="1" applyBorder="1" applyFont="1" applyNumberFormat="1">
      <alignment horizontal="right" vertical="center"/>
    </xf>
    <xf borderId="76" fillId="7" fontId="18" numFmtId="1" xfId="0" applyAlignment="1" applyBorder="1" applyFont="1" applyNumberFormat="1">
      <alignment horizontal="center" vertical="center"/>
    </xf>
    <xf borderId="77" fillId="0" fontId="1" numFmtId="1" xfId="0" applyAlignment="1" applyBorder="1" applyFont="1" applyNumberFormat="1">
      <alignment horizontal="left" vertical="center"/>
    </xf>
    <xf borderId="78" fillId="0" fontId="5" numFmtId="0" xfId="0" applyAlignment="1" applyBorder="1" applyFont="1">
      <alignment vertical="center"/>
    </xf>
    <xf borderId="78" fillId="0" fontId="18" numFmtId="2" xfId="0" applyAlignment="1" applyBorder="1" applyFont="1" applyNumberFormat="1">
      <alignment horizontal="right" vertical="center"/>
    </xf>
    <xf borderId="78" fillId="0" fontId="18" numFmtId="1" xfId="0" applyAlignment="1" applyBorder="1" applyFont="1" applyNumberFormat="1">
      <alignment horizontal="left" vertical="center"/>
    </xf>
    <xf borderId="78" fillId="0" fontId="18" numFmtId="1" xfId="0" applyAlignment="1" applyBorder="1" applyFont="1" applyNumberFormat="1">
      <alignment horizontal="right" vertical="center"/>
    </xf>
    <xf borderId="78" fillId="0" fontId="18" numFmtId="164" xfId="0" applyAlignment="1" applyBorder="1" applyFont="1" applyNumberFormat="1">
      <alignment horizontal="left" vertical="center"/>
    </xf>
    <xf borderId="79" fillId="0" fontId="18" numFmtId="1" xfId="0" applyAlignment="1" applyBorder="1" applyFont="1" applyNumberFormat="1">
      <alignment horizontal="right" vertical="center"/>
    </xf>
    <xf borderId="80" fillId="0" fontId="18" numFmtId="1" xfId="0" applyAlignment="1" applyBorder="1" applyFont="1" applyNumberFormat="1">
      <alignment horizontal="center" vertical="center"/>
    </xf>
    <xf borderId="81" fillId="0" fontId="1" numFmtId="1" xfId="0" applyAlignment="1" applyBorder="1" applyFont="1" applyNumberFormat="1">
      <alignment horizontal="left" vertical="center"/>
    </xf>
    <xf borderId="82" fillId="0" fontId="5" numFmtId="0" xfId="0" applyAlignment="1" applyBorder="1" applyFont="1">
      <alignment vertical="center"/>
    </xf>
    <xf borderId="82" fillId="0" fontId="18" numFmtId="2" xfId="0" applyAlignment="1" applyBorder="1" applyFont="1" applyNumberFormat="1">
      <alignment horizontal="right" vertical="center"/>
    </xf>
    <xf borderId="82" fillId="0" fontId="18" numFmtId="1" xfId="0" applyAlignment="1" applyBorder="1" applyFont="1" applyNumberFormat="1">
      <alignment horizontal="left" vertical="center"/>
    </xf>
    <xf borderId="83" fillId="0" fontId="18" numFmtId="1" xfId="0" applyAlignment="1" applyBorder="1" applyFont="1" applyNumberFormat="1">
      <alignment horizontal="right" vertical="center"/>
    </xf>
    <xf borderId="82" fillId="0" fontId="18" numFmtId="164" xfId="0" applyAlignment="1" applyBorder="1" applyFont="1" applyNumberFormat="1">
      <alignment horizontal="left" vertical="center"/>
    </xf>
    <xf borderId="84" fillId="0" fontId="18" numFmtId="1" xfId="0" applyAlignment="1" applyBorder="1" applyFont="1" applyNumberFormat="1">
      <alignment horizontal="right" vertical="center"/>
    </xf>
    <xf borderId="85" fillId="0" fontId="3" numFmtId="0" xfId="0" applyBorder="1" applyFont="1"/>
    <xf borderId="0" fillId="0" fontId="5" numFmtId="0" xfId="0" applyAlignment="1" applyFont="1">
      <alignment vertical="center"/>
    </xf>
    <xf borderId="0" fillId="0" fontId="18" numFmtId="2" xfId="0" applyAlignment="1" applyFont="1" applyNumberFormat="1">
      <alignment horizontal="right" vertical="center"/>
    </xf>
    <xf borderId="0" fillId="0" fontId="18" numFmtId="164" xfId="0" applyAlignment="1" applyFont="1" applyNumberFormat="1">
      <alignment horizontal="left" vertical="center"/>
    </xf>
    <xf borderId="0" fillId="0" fontId="19" numFmtId="1" xfId="0" applyAlignment="1" applyFont="1" applyNumberFormat="1">
      <alignment horizontal="right" vertical="center"/>
    </xf>
    <xf borderId="86" fillId="0" fontId="19" numFmtId="164" xfId="0" applyAlignment="1" applyBorder="1" applyFont="1" applyNumberFormat="1">
      <alignment horizontal="left" vertical="center"/>
    </xf>
    <xf borderId="87" fillId="2" fontId="8" numFmtId="1" xfId="0" applyAlignment="1" applyBorder="1" applyFont="1" applyNumberFormat="1">
      <alignment horizontal="right" vertical="center"/>
    </xf>
    <xf borderId="18" fillId="2" fontId="8" numFmtId="1" xfId="0" applyAlignment="1" applyBorder="1" applyFont="1" applyNumberFormat="1">
      <alignment horizontal="left" vertical="center"/>
    </xf>
    <xf borderId="0" fillId="0" fontId="5" numFmtId="0" xfId="0" applyAlignment="1" applyFont="1">
      <alignment horizontal="left" vertical="center"/>
    </xf>
    <xf borderId="69" fillId="0" fontId="7" numFmtId="0" xfId="0" applyAlignment="1" applyBorder="1" applyFont="1">
      <alignment vertical="center"/>
    </xf>
    <xf borderId="78" fillId="0" fontId="5" numFmtId="0" xfId="0" applyAlignment="1" applyBorder="1" applyFont="1">
      <alignment horizontal="left" vertical="center"/>
    </xf>
    <xf borderId="78" fillId="0" fontId="18" numFmtId="0" xfId="0" applyAlignment="1" applyBorder="1" applyFont="1">
      <alignment horizontal="left" vertical="center"/>
    </xf>
    <xf borderId="80" fillId="0" fontId="18" numFmtId="0" xfId="0" applyAlignment="1" applyBorder="1" applyFont="1">
      <alignment horizontal="left" vertical="center"/>
    </xf>
    <xf borderId="88" fillId="0" fontId="3" numFmtId="0" xfId="0" applyBorder="1" applyFont="1"/>
    <xf borderId="82" fillId="0" fontId="5" numFmtId="0" xfId="0" applyAlignment="1" applyBorder="1" applyFont="1">
      <alignment horizontal="left" vertical="center"/>
    </xf>
    <xf borderId="82" fillId="0" fontId="18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0" fillId="0" fontId="19" numFmtId="164" xfId="0" applyAlignment="1" applyFont="1" applyNumberFormat="1">
      <alignment horizontal="left" vertical="center"/>
    </xf>
    <xf borderId="0" fillId="0" fontId="8" numFmtId="1" xfId="0" applyAlignment="1" applyFont="1" applyNumberFormat="1">
      <alignment horizontal="right" vertical="center"/>
    </xf>
    <xf borderId="0" fillId="0" fontId="8" numFmtId="1" xfId="0" applyAlignment="1" applyFont="1" applyNumberFormat="1">
      <alignment horizontal="left" vertical="center"/>
    </xf>
    <xf borderId="1" fillId="0" fontId="20" numFmtId="0" xfId="0" applyAlignment="1" applyBorder="1" applyFont="1">
      <alignment horizontal="left" shrinkToFit="0" vertical="center" wrapText="1"/>
    </xf>
    <xf borderId="4" fillId="0" fontId="4" numFmtId="0" xfId="0" applyAlignment="1" applyBorder="1" applyFont="1">
      <alignment vertical="center"/>
    </xf>
    <xf borderId="4" fillId="0" fontId="5" numFmtId="0" xfId="0" applyAlignment="1" applyBorder="1" applyFont="1">
      <alignment horizontal="center" vertical="center"/>
    </xf>
    <xf borderId="65" fillId="0" fontId="4" numFmtId="0" xfId="0" applyAlignment="1" applyBorder="1" applyFont="1">
      <alignment vertical="center"/>
    </xf>
    <xf borderId="65" fillId="0" fontId="3" numFmtId="0" xfId="0" applyBorder="1" applyFont="1"/>
    <xf borderId="65" fillId="0" fontId="5" numFmtId="0" xfId="0" applyAlignment="1" applyBorder="1" applyFont="1">
      <alignment horizontal="right" vertical="center"/>
    </xf>
    <xf borderId="65" fillId="0" fontId="5" numFmtId="0" xfId="0" applyAlignment="1" applyBorder="1" applyFont="1">
      <alignment vertical="center"/>
    </xf>
    <xf borderId="0" fillId="0" fontId="1" numFmtId="0" xfId="0" applyAlignment="1" applyFont="1">
      <alignment horizontal="right" vertical="center"/>
    </xf>
    <xf borderId="11" fillId="2" fontId="8" numFmtId="0" xfId="0" applyAlignment="1" applyBorder="1" applyFont="1">
      <alignment vertical="center"/>
    </xf>
    <xf borderId="89" fillId="0" fontId="3" numFmtId="0" xfId="0" applyBorder="1" applyFont="1"/>
    <xf borderId="90" fillId="2" fontId="8" numFmtId="0" xfId="0" applyAlignment="1" applyBorder="1" applyFont="1">
      <alignment horizontal="center" vertical="center"/>
    </xf>
    <xf borderId="91" fillId="2" fontId="8" numFmtId="0" xfId="0" applyAlignment="1" applyBorder="1" applyFont="1">
      <alignment horizontal="center" vertical="center"/>
    </xf>
    <xf borderId="51" fillId="3" fontId="8" numFmtId="0" xfId="0" applyAlignment="1" applyBorder="1" applyFont="1">
      <alignment horizontal="center" vertical="center"/>
    </xf>
    <xf borderId="92" fillId="8" fontId="8" numFmtId="0" xfId="0" applyAlignment="1" applyBorder="1" applyFill="1" applyFont="1">
      <alignment horizontal="center" shrinkToFit="0" vertical="center" wrapText="1"/>
    </xf>
    <xf borderId="93" fillId="0" fontId="3" numFmtId="0" xfId="0" applyBorder="1" applyFont="1"/>
    <xf borderId="94" fillId="8" fontId="8" numFmtId="0" xfId="0" applyAlignment="1" applyBorder="1" applyFont="1">
      <alignment horizontal="center" shrinkToFit="0" vertical="center" wrapText="1"/>
    </xf>
    <xf borderId="21" fillId="4" fontId="1" numFmtId="0" xfId="0" applyAlignment="1" applyBorder="1" applyFont="1">
      <alignment vertical="center"/>
    </xf>
    <xf borderId="21" fillId="4" fontId="21" numFmtId="1" xfId="0" applyAlignment="1" applyBorder="1" applyFont="1" applyNumberFormat="1">
      <alignment horizontal="center" vertical="center"/>
    </xf>
    <xf borderId="95" fillId="4" fontId="5" numFmtId="2" xfId="0" applyAlignment="1" applyBorder="1" applyFont="1" applyNumberFormat="1">
      <alignment horizontal="right" vertical="center"/>
    </xf>
    <xf borderId="96" fillId="4" fontId="5" numFmtId="2" xfId="0" applyAlignment="1" applyBorder="1" applyFont="1" applyNumberFormat="1">
      <alignment vertical="center"/>
    </xf>
    <xf borderId="21" fillId="4" fontId="5" numFmtId="2" xfId="0" applyAlignment="1" applyBorder="1" applyFont="1" applyNumberFormat="1">
      <alignment vertical="center"/>
    </xf>
    <xf borderId="97" fillId="4" fontId="5" numFmtId="2" xfId="0" applyAlignment="1" applyBorder="1" applyFont="1" applyNumberFormat="1">
      <alignment horizontal="right" vertical="center"/>
    </xf>
    <xf borderId="98" fillId="4" fontId="5" numFmtId="2" xfId="0" applyAlignment="1" applyBorder="1" applyFont="1" applyNumberFormat="1">
      <alignment vertical="center"/>
    </xf>
    <xf borderId="21" fillId="4" fontId="1" numFmtId="2" xfId="0" applyAlignment="1" applyBorder="1" applyFont="1" applyNumberFormat="1">
      <alignment vertical="center"/>
    </xf>
    <xf borderId="96" fillId="4" fontId="1" numFmtId="2" xfId="0" applyAlignment="1" applyBorder="1" applyFont="1" applyNumberFormat="1">
      <alignment vertical="center"/>
    </xf>
    <xf borderId="95" fillId="4" fontId="1" numFmtId="2" xfId="0" applyAlignment="1" applyBorder="1" applyFont="1" applyNumberFormat="1">
      <alignment vertical="center"/>
    </xf>
    <xf borderId="46" fillId="5" fontId="1" numFmtId="0" xfId="0" applyAlignment="1" applyBorder="1" applyFont="1">
      <alignment vertical="center"/>
    </xf>
    <xf borderId="46" fillId="5" fontId="21" numFmtId="1" xfId="0" applyAlignment="1" applyBorder="1" applyFont="1" applyNumberFormat="1">
      <alignment horizontal="center" vertical="center"/>
    </xf>
    <xf borderId="95" fillId="5" fontId="5" numFmtId="2" xfId="0" applyAlignment="1" applyBorder="1" applyFont="1" applyNumberFormat="1">
      <alignment horizontal="right" vertical="center"/>
    </xf>
    <xf borderId="96" fillId="5" fontId="5" numFmtId="2" xfId="0" applyAlignment="1" applyBorder="1" applyFont="1" applyNumberFormat="1">
      <alignment vertical="center"/>
    </xf>
    <xf borderId="21" fillId="5" fontId="5" numFmtId="2" xfId="0" applyAlignment="1" applyBorder="1" applyFont="1" applyNumberFormat="1">
      <alignment vertical="center"/>
    </xf>
    <xf borderId="97" fillId="5" fontId="5" numFmtId="2" xfId="0" applyAlignment="1" applyBorder="1" applyFont="1" applyNumberFormat="1">
      <alignment horizontal="right" vertical="center"/>
    </xf>
    <xf borderId="98" fillId="5" fontId="5" numFmtId="2" xfId="0" applyAlignment="1" applyBorder="1" applyFont="1" applyNumberFormat="1">
      <alignment vertical="center"/>
    </xf>
    <xf borderId="46" fillId="5" fontId="1" numFmtId="2" xfId="0" applyAlignment="1" applyBorder="1" applyFont="1" applyNumberFormat="1">
      <alignment vertical="center"/>
    </xf>
    <xf borderId="99" fillId="5" fontId="1" numFmtId="2" xfId="0" applyAlignment="1" applyBorder="1" applyFont="1" applyNumberFormat="1">
      <alignment vertical="center"/>
    </xf>
    <xf borderId="100" fillId="5" fontId="1" numFmtId="2" xfId="0" applyAlignment="1" applyBorder="1" applyFont="1" applyNumberFormat="1">
      <alignment vertical="center"/>
    </xf>
    <xf borderId="46" fillId="4" fontId="1" numFmtId="0" xfId="0" applyAlignment="1" applyBorder="1" applyFont="1">
      <alignment vertical="center"/>
    </xf>
    <xf borderId="46" fillId="4" fontId="21" numFmtId="1" xfId="0" applyAlignment="1" applyBorder="1" applyFont="1" applyNumberFormat="1">
      <alignment horizontal="center" vertical="center"/>
    </xf>
    <xf borderId="46" fillId="4" fontId="1" numFmtId="2" xfId="0" applyAlignment="1" applyBorder="1" applyFont="1" applyNumberFormat="1">
      <alignment vertical="center"/>
    </xf>
    <xf borderId="99" fillId="4" fontId="1" numFmtId="2" xfId="0" applyAlignment="1" applyBorder="1" applyFont="1" applyNumberFormat="1">
      <alignment vertical="center"/>
    </xf>
    <xf borderId="100" fillId="4" fontId="1" numFmtId="2" xfId="0" applyAlignment="1" applyBorder="1" applyFont="1" applyNumberFormat="1">
      <alignment vertical="center"/>
    </xf>
    <xf borderId="46" fillId="5" fontId="1" numFmtId="2" xfId="0" applyBorder="1" applyFont="1" applyNumberFormat="1"/>
    <xf borderId="100" fillId="5" fontId="1" numFmtId="2" xfId="0" applyBorder="1" applyFont="1" applyNumberFormat="1"/>
    <xf borderId="46" fillId="4" fontId="21" numFmtId="0" xfId="0" applyAlignment="1" applyBorder="1" applyFont="1">
      <alignment horizontal="center" vertical="center"/>
    </xf>
    <xf borderId="46" fillId="4" fontId="1" numFmtId="2" xfId="0" applyBorder="1" applyFont="1" applyNumberFormat="1"/>
    <xf borderId="100" fillId="4" fontId="1" numFmtId="2" xfId="0" applyBorder="1" applyFont="1" applyNumberFormat="1"/>
    <xf borderId="46" fillId="5" fontId="21" numFmtId="0" xfId="0" applyAlignment="1" applyBorder="1" applyFont="1">
      <alignment horizontal="center" vertical="center"/>
    </xf>
    <xf borderId="58" fillId="4" fontId="1" numFmtId="0" xfId="0" applyAlignment="1" applyBorder="1" applyFont="1">
      <alignment vertical="center"/>
    </xf>
    <xf borderId="58" fillId="4" fontId="21" numFmtId="1" xfId="0" applyAlignment="1" applyBorder="1" applyFont="1" applyNumberFormat="1">
      <alignment horizontal="center" vertical="center"/>
    </xf>
    <xf borderId="101" fillId="4" fontId="5" numFmtId="2" xfId="0" applyAlignment="1" applyBorder="1" applyFont="1" applyNumberFormat="1">
      <alignment horizontal="right" vertical="center"/>
    </xf>
    <xf borderId="102" fillId="4" fontId="5" numFmtId="2" xfId="0" applyAlignment="1" applyBorder="1" applyFont="1" applyNumberFormat="1">
      <alignment vertical="center"/>
    </xf>
    <xf borderId="58" fillId="4" fontId="1" numFmtId="2" xfId="0" applyAlignment="1" applyBorder="1" applyFont="1" applyNumberFormat="1">
      <alignment vertical="center"/>
    </xf>
    <xf borderId="103" fillId="4" fontId="1" numFmtId="2" xfId="0" applyAlignment="1" applyBorder="1" applyFont="1" applyNumberFormat="1">
      <alignment vertical="center"/>
    </xf>
    <xf borderId="104" fillId="4" fontId="1" numFmtId="2" xfId="0" applyAlignment="1" applyBorder="1" applyFont="1" applyNumberFormat="1">
      <alignment vertical="center"/>
    </xf>
    <xf borderId="90" fillId="2" fontId="8" numFmtId="2" xfId="0" applyAlignment="1" applyBorder="1" applyFont="1" applyNumberFormat="1">
      <alignment horizontal="center" shrinkToFit="0" vertical="center" wrapText="1"/>
    </xf>
    <xf borderId="91" fillId="2" fontId="8" numFmtId="2" xfId="0" applyAlignment="1" applyBorder="1" applyFont="1" applyNumberFormat="1">
      <alignment horizontal="center" shrinkToFit="0" vertical="center" wrapText="1"/>
    </xf>
    <xf borderId="51" fillId="3" fontId="8" numFmtId="2" xfId="0" applyAlignment="1" applyBorder="1" applyFont="1" applyNumberFormat="1">
      <alignment horizontal="center" shrinkToFit="0" vertical="center" wrapText="1"/>
    </xf>
    <xf borderId="92" fillId="8" fontId="8" numFmtId="2" xfId="0" applyAlignment="1" applyBorder="1" applyFont="1" applyNumberFormat="1">
      <alignment horizontal="center" shrinkToFit="0" vertical="center" wrapText="1"/>
    </xf>
    <xf borderId="105" fillId="0" fontId="3" numFmtId="0" xfId="0" applyBorder="1" applyFont="1"/>
    <xf borderId="99" fillId="5" fontId="5" numFmtId="2" xfId="0" applyAlignment="1" applyBorder="1" applyFont="1" applyNumberFormat="1">
      <alignment vertical="center"/>
    </xf>
    <xf borderId="99" fillId="4" fontId="5" numFmtId="2" xfId="0" applyAlignment="1" applyBorder="1" applyFont="1" applyNumberFormat="1">
      <alignment vertical="center"/>
    </xf>
    <xf borderId="103" fillId="4" fontId="5" numFmtId="2" xfId="0" applyAlignment="1" applyBorder="1" applyFont="1" applyNumberFormat="1">
      <alignment vertical="center"/>
    </xf>
    <xf borderId="106" fillId="4" fontId="5" numFmtId="2" xfId="0" applyAlignment="1" applyBorder="1" applyFont="1" applyNumberFormat="1">
      <alignment vertical="center"/>
    </xf>
    <xf borderId="87" fillId="4" fontId="5" numFmtId="2" xfId="0" applyAlignment="1" applyBorder="1" applyFont="1" applyNumberFormat="1">
      <alignment vertical="center"/>
    </xf>
    <xf borderId="107" fillId="5" fontId="5" numFmtId="2" xfId="0" applyAlignment="1" applyBorder="1" applyFont="1" applyNumberFormat="1">
      <alignment horizontal="right" vertical="center"/>
    </xf>
    <xf borderId="108" fillId="5" fontId="5" numFmtId="2" xfId="0" applyAlignment="1" applyBorder="1" applyFont="1" applyNumberFormat="1">
      <alignment vertical="center"/>
    </xf>
    <xf borderId="87" fillId="4" fontId="1" numFmtId="0" xfId="0" applyAlignment="1" applyBorder="1" applyFont="1">
      <alignment vertical="center"/>
    </xf>
    <xf borderId="87" fillId="4" fontId="22" numFmtId="0" xfId="0" applyAlignment="1" applyBorder="1" applyFont="1">
      <alignment horizontal="center" vertical="center"/>
    </xf>
    <xf borderId="87" fillId="4" fontId="5" numFmtId="2" xfId="0" applyAlignment="1" applyBorder="1" applyFont="1" applyNumberFormat="1">
      <alignment horizontal="right" vertical="center"/>
    </xf>
    <xf borderId="87" fillId="4" fontId="1" numFmtId="2" xfId="0" applyAlignment="1" applyBorder="1" applyFont="1" applyNumberFormat="1">
      <alignment vertical="center"/>
    </xf>
    <xf borderId="109" fillId="0" fontId="5" numFmtId="0" xfId="0" applyBorder="1" applyFont="1"/>
    <xf borderId="109" fillId="0" fontId="1" numFmtId="0" xfId="0" applyAlignment="1" applyBorder="1" applyFont="1">
      <alignment horizontal="right"/>
    </xf>
    <xf borderId="109" fillId="0" fontId="1" numFmtId="3" xfId="0" applyAlignment="1" applyBorder="1" applyFont="1" applyNumberFormat="1">
      <alignment horizontal="left"/>
    </xf>
    <xf borderId="0" fillId="0" fontId="5" numFmtId="10" xfId="0" applyAlignment="1" applyFont="1" applyNumberFormat="1">
      <alignment horizontal="center"/>
    </xf>
    <xf borderId="0" fillId="0" fontId="1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center"/>
    </xf>
    <xf borderId="0" fillId="0" fontId="5" numFmtId="0" xfId="0" applyAlignment="1" applyFont="1">
      <alignment horizontal="center" shrinkToFit="0" wrapText="1"/>
    </xf>
    <xf borderId="110" fillId="0" fontId="5" numFmtId="0" xfId="0" applyBorder="1" applyFont="1"/>
    <xf borderId="110" fillId="0" fontId="1" numFmtId="0" xfId="0" applyAlignment="1" applyBorder="1" applyFont="1">
      <alignment horizontal="right"/>
    </xf>
    <xf borderId="110" fillId="0" fontId="1" numFmtId="3" xfId="0" applyAlignment="1" applyBorder="1" applyFont="1" applyNumberFormat="1">
      <alignment horizontal="left"/>
    </xf>
    <xf borderId="111" fillId="0" fontId="5" numFmtId="0" xfId="0" applyBorder="1" applyFont="1"/>
    <xf borderId="111" fillId="0" fontId="1" numFmtId="0" xfId="0" applyAlignment="1" applyBorder="1" applyFont="1">
      <alignment horizontal="right"/>
    </xf>
    <xf borderId="111" fillId="0" fontId="1" numFmtId="3" xfId="0" applyAlignment="1" applyBorder="1" applyFont="1" applyNumberFormat="1">
      <alignment horizontal="left"/>
    </xf>
    <xf borderId="87" fillId="9" fontId="22" numFmtId="1" xfId="0" applyAlignment="1" applyBorder="1" applyFill="1" applyFont="1" applyNumberFormat="1">
      <alignment horizontal="center" vertical="center"/>
    </xf>
    <xf borderId="112" fillId="10" fontId="5" numFmtId="0" xfId="0" applyAlignment="1" applyBorder="1" applyFill="1" applyFont="1">
      <alignment horizontal="left" vertical="center"/>
    </xf>
    <xf borderId="113" fillId="10" fontId="5" numFmtId="0" xfId="0" applyAlignment="1" applyBorder="1" applyFont="1">
      <alignment vertical="center"/>
    </xf>
    <xf borderId="113" fillId="10" fontId="5" numFmtId="3" xfId="0" applyAlignment="1" applyBorder="1" applyFont="1" applyNumberFormat="1">
      <alignment horizontal="left" vertical="center"/>
    </xf>
    <xf borderId="113" fillId="10" fontId="5" numFmtId="0" xfId="0" applyAlignment="1" applyBorder="1" applyFont="1">
      <alignment horizontal="center" vertical="center"/>
    </xf>
    <xf borderId="113" fillId="10" fontId="5" numFmtId="4" xfId="0" applyAlignment="1" applyBorder="1" applyFont="1" applyNumberFormat="1">
      <alignment horizontal="center" vertical="center"/>
    </xf>
    <xf borderId="113" fillId="10" fontId="5" numFmtId="0" xfId="0" applyAlignment="1" applyBorder="1" applyFont="1">
      <alignment horizontal="center" shrinkToFit="0" vertical="center" wrapText="1"/>
    </xf>
    <xf borderId="114" fillId="10" fontId="5" numFmtId="0" xfId="0" applyAlignment="1" applyBorder="1" applyFont="1">
      <alignment horizontal="center" vertical="center"/>
    </xf>
    <xf borderId="115" fillId="0" fontId="1" numFmtId="0" xfId="0" applyAlignment="1" applyBorder="1" applyFont="1">
      <alignment horizontal="left"/>
    </xf>
    <xf borderId="116" fillId="0" fontId="23" numFmtId="0" xfId="0" applyAlignment="1" applyBorder="1" applyFont="1">
      <alignment readingOrder="0" vertical="center"/>
    </xf>
    <xf borderId="116" fillId="0" fontId="24" numFmtId="3" xfId="0" applyAlignment="1" applyBorder="1" applyFont="1" applyNumberFormat="1">
      <alignment horizontal="left"/>
    </xf>
    <xf borderId="116" fillId="0" fontId="1" numFmtId="10" xfId="0" applyAlignment="1" applyBorder="1" applyFont="1" applyNumberFormat="1">
      <alignment horizontal="center"/>
    </xf>
    <xf borderId="116" fillId="0" fontId="1" numFmtId="0" xfId="0" applyAlignment="1" applyBorder="1" applyFont="1">
      <alignment horizontal="center"/>
    </xf>
    <xf borderId="116" fillId="0" fontId="1" numFmtId="4" xfId="0" applyAlignment="1" applyBorder="1" applyFont="1" applyNumberFormat="1">
      <alignment horizontal="center"/>
    </xf>
    <xf borderId="116" fillId="0" fontId="1" numFmtId="0" xfId="0" applyAlignment="1" applyBorder="1" applyFont="1">
      <alignment horizontal="center" shrinkToFit="0" wrapText="1"/>
    </xf>
    <xf borderId="117" fillId="0" fontId="1" numFmtId="0" xfId="0" applyAlignment="1" applyBorder="1" applyFont="1">
      <alignment horizontal="center"/>
    </xf>
    <xf borderId="118" fillId="0" fontId="1" numFmtId="0" xfId="0" applyAlignment="1" applyBorder="1" applyFont="1">
      <alignment horizontal="left"/>
    </xf>
    <xf borderId="119" fillId="0" fontId="23" numFmtId="0" xfId="0" applyAlignment="1" applyBorder="1" applyFont="1">
      <alignment readingOrder="0" vertical="center"/>
    </xf>
    <xf borderId="119" fillId="0" fontId="25" numFmtId="3" xfId="0" applyAlignment="1" applyBorder="1" applyFont="1" applyNumberFormat="1">
      <alignment horizontal="left"/>
    </xf>
    <xf borderId="119" fillId="0" fontId="1" numFmtId="10" xfId="0" applyAlignment="1" applyBorder="1" applyFont="1" applyNumberFormat="1">
      <alignment horizontal="center"/>
    </xf>
    <xf borderId="119" fillId="0" fontId="1" numFmtId="0" xfId="0" applyAlignment="1" applyBorder="1" applyFont="1">
      <alignment horizontal="center"/>
    </xf>
    <xf borderId="119" fillId="0" fontId="1" numFmtId="4" xfId="0" applyAlignment="1" applyBorder="1" applyFont="1" applyNumberFormat="1">
      <alignment horizontal="center"/>
    </xf>
    <xf borderId="119" fillId="0" fontId="1" numFmtId="0" xfId="0" applyAlignment="1" applyBorder="1" applyFont="1">
      <alignment horizontal="center" shrinkToFit="0" wrapText="1"/>
    </xf>
    <xf borderId="120" fillId="0" fontId="1" numFmtId="0" xfId="0" applyAlignment="1" applyBorder="1" applyFont="1">
      <alignment horizontal="center"/>
    </xf>
    <xf borderId="119" fillId="0" fontId="1" numFmtId="166" xfId="0" applyAlignment="1" applyBorder="1" applyFont="1" applyNumberFormat="1">
      <alignment horizontal="center"/>
    </xf>
    <xf borderId="118" fillId="0" fontId="1" numFmtId="0" xfId="0" applyBorder="1" applyFont="1"/>
    <xf borderId="119" fillId="0" fontId="23" numFmtId="0" xfId="0" applyAlignment="1" applyBorder="1" applyFont="1">
      <alignment horizontal="left" readingOrder="0" vertical="center"/>
    </xf>
    <xf borderId="119" fillId="0" fontId="1" numFmtId="3" xfId="0" applyAlignment="1" applyBorder="1" applyFont="1" applyNumberFormat="1">
      <alignment horizontal="left"/>
    </xf>
    <xf borderId="119" fillId="0" fontId="26" numFmtId="3" xfId="0" applyAlignment="1" applyBorder="1" applyFont="1" applyNumberFormat="1">
      <alignment horizontal="left"/>
    </xf>
    <xf borderId="119" fillId="0" fontId="1" numFmtId="0" xfId="0" applyAlignment="1" applyBorder="1" applyFont="1">
      <alignment horizontal="left"/>
    </xf>
    <xf borderId="121" fillId="0" fontId="1" numFmtId="0" xfId="0" applyBorder="1" applyFont="1"/>
    <xf borderId="122" fillId="0" fontId="1" numFmtId="0" xfId="0" applyAlignment="1" applyBorder="1" applyFont="1">
      <alignment horizontal="left"/>
    </xf>
    <xf borderId="122" fillId="0" fontId="1" numFmtId="3" xfId="0" applyAlignment="1" applyBorder="1" applyFont="1" applyNumberFormat="1">
      <alignment horizontal="left"/>
    </xf>
    <xf borderId="122" fillId="0" fontId="1" numFmtId="10" xfId="0" applyAlignment="1" applyBorder="1" applyFont="1" applyNumberFormat="1">
      <alignment horizontal="center"/>
    </xf>
    <xf borderId="122" fillId="0" fontId="1" numFmtId="0" xfId="0" applyAlignment="1" applyBorder="1" applyFont="1">
      <alignment horizontal="center"/>
    </xf>
    <xf borderId="122" fillId="0" fontId="1" numFmtId="4" xfId="0" applyAlignment="1" applyBorder="1" applyFont="1" applyNumberFormat="1">
      <alignment horizontal="center"/>
    </xf>
    <xf borderId="122" fillId="0" fontId="1" numFmtId="0" xfId="0" applyAlignment="1" applyBorder="1" applyFont="1">
      <alignment horizontal="center" shrinkToFit="0" wrapText="1"/>
    </xf>
    <xf borderId="123" fillId="0" fontId="1" numFmtId="0" xfId="0" applyAlignment="1" applyBorder="1" applyFont="1">
      <alignment horizontal="center"/>
    </xf>
    <xf borderId="124" fillId="0" fontId="5" numFmtId="0" xfId="0" applyBorder="1" applyFont="1"/>
    <xf borderId="125" fillId="0" fontId="5" numFmtId="0" xfId="0" applyBorder="1" applyFont="1"/>
    <xf borderId="15" fillId="0" fontId="5" numFmtId="0" xfId="0" applyBorder="1" applyFont="1"/>
    <xf borderId="126" fillId="11" fontId="5" numFmtId="0" xfId="0" applyBorder="1" applyFill="1" applyFont="1"/>
    <xf borderId="127" fillId="11" fontId="5" numFmtId="0" xfId="0" applyBorder="1" applyFont="1"/>
    <xf borderId="128" fillId="11" fontId="5" numFmtId="0" xfId="0" applyBorder="1" applyFont="1"/>
    <xf borderId="124" fillId="0" fontId="1" numFmtId="0" xfId="0" applyBorder="1" applyFont="1"/>
    <xf borderId="125" fillId="0" fontId="1" numFmtId="0" xfId="0" applyBorder="1" applyFont="1"/>
    <xf borderId="43" fillId="0" fontId="1" numFmtId="0" xfId="0" applyBorder="1" applyFont="1"/>
    <xf borderId="120" fillId="0" fontId="1" numFmtId="0" xfId="0" applyBorder="1" applyFont="1"/>
  </cellXfs>
  <cellStyles count="1">
    <cellStyle xfId="0" name="Normal" builtinId="0"/>
  </cellStyles>
  <dxfs count="6">
    <dxf>
      <font>
        <b/>
        <color rgb="FFFFFFFF"/>
      </font>
      <fill>
        <patternFill patternType="solid">
          <fgColor rgb="FFA3C0C4"/>
          <bgColor rgb="FFA3C0C4"/>
        </patternFill>
      </fill>
      <border/>
    </dxf>
    <dxf>
      <font>
        <b/>
        <color rgb="FF00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</dxfs>
  <tableStyles count="2">
    <tableStyle count="2" pivot="0" name="Data Sheet-style">
      <tableStyleElement dxfId="3" type="firstRowStripe"/>
      <tableStyleElement dxfId="4" type="secondRowStripe"/>
    </tableStyle>
    <tableStyle count="3" pivot="0" name="List Ranges-style">
      <tableStyleElement dxfId="5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95250</xdr:rowOff>
    </xdr:from>
    <xdr:ext cx="1752600" cy="17526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81100" cy="1181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76325" cy="1076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8:AX155" displayName="Table_1" id="1">
  <tableColumns count="5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</tableColumns>
  <tableStyleInfo name="Data Sheet-style" showColumnStripes="0" showFirstColumn="1" showLastColumn="1" showRowStripes="1"/>
</table>
</file>

<file path=xl/tables/table2.xml><?xml version="1.0" encoding="utf-8"?>
<table xmlns="http://schemas.openxmlformats.org/spreadsheetml/2006/main" ref="A1:C220" displayName="Table_2" id="2">
  <tableColumns count="3">
    <tableColumn name="Raw Meaty Bone" id="1"/>
    <tableColumn name="Muscle Meat" id="2"/>
    <tableColumn name="Dynamic List Range" id="3"/>
  </tableColumns>
  <tableStyleInfo name="List Rang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20" Type="http://schemas.openxmlformats.org/officeDocument/2006/relationships/hyperlink" Target="https://fdc.nal.usda.gov/fdc-app.html" TargetMode="External"/><Relationship Id="rId42" Type="http://schemas.openxmlformats.org/officeDocument/2006/relationships/hyperlink" Target="https://fdc.nal.usda.gov/fdc-app.html" TargetMode="External"/><Relationship Id="rId41" Type="http://schemas.openxmlformats.org/officeDocument/2006/relationships/hyperlink" Target="https://fdc.nal.usda.gov/fdc-app.html" TargetMode="External"/><Relationship Id="rId22" Type="http://schemas.openxmlformats.org/officeDocument/2006/relationships/hyperlink" Target="https://fdc.nal.usda.gov/fdc-app.html" TargetMode="External"/><Relationship Id="rId44" Type="http://schemas.openxmlformats.org/officeDocument/2006/relationships/hyperlink" Target="https://fdc.nal.usda.gov/fdc-app.html" TargetMode="External"/><Relationship Id="rId21" Type="http://schemas.openxmlformats.org/officeDocument/2006/relationships/hyperlink" Target="https://www.checkyourfood.com/ingredients/ingredient/944/sardines-whole?fbclid=IwAR2gTzP-EU2qoZoQulwgPQfbVi3MFM9DIGYijUux1n8NU1uufIKF362SEGE" TargetMode="External"/><Relationship Id="rId43" Type="http://schemas.openxmlformats.org/officeDocument/2006/relationships/hyperlink" Target="https://fdc.nal.usda.gov/fdc-app.html" TargetMode="External"/><Relationship Id="rId24" Type="http://schemas.openxmlformats.org/officeDocument/2006/relationships/hyperlink" Target="https://fdc.nal.usda.gov/fdc-app.html" TargetMode="External"/><Relationship Id="rId46" Type="http://schemas.openxmlformats.org/officeDocument/2006/relationships/drawing" Target="../drawings/drawing4.xml"/><Relationship Id="rId23" Type="http://schemas.openxmlformats.org/officeDocument/2006/relationships/hyperlink" Target="https://fdc.nal.usda.gov/fdc-app.html" TargetMode="External"/><Relationship Id="rId45" Type="http://schemas.openxmlformats.org/officeDocument/2006/relationships/hyperlink" Target="https://fdc.nal.usda.gov/fdc-app.html" TargetMode="External"/><Relationship Id="rId1" Type="http://schemas.openxmlformats.org/officeDocument/2006/relationships/hyperlink" Target="https://fdc.nal.usda.gov/fdc-app.html" TargetMode="External"/><Relationship Id="rId2" Type="http://schemas.openxmlformats.org/officeDocument/2006/relationships/hyperlink" Target="https://fdc.nal.usda.gov/fdc-app.html" TargetMode="External"/><Relationship Id="rId3" Type="http://schemas.openxmlformats.org/officeDocument/2006/relationships/hyperlink" Target="https://fdc.nal.usda.gov/fdc-app.html" TargetMode="External"/><Relationship Id="rId4" Type="http://schemas.openxmlformats.org/officeDocument/2006/relationships/hyperlink" Target="https://fdc.nal.usda.gov/fdc-app.html" TargetMode="External"/><Relationship Id="rId9" Type="http://schemas.openxmlformats.org/officeDocument/2006/relationships/hyperlink" Target="https://fdc.nal.usda.gov/fdc-app.html" TargetMode="External"/><Relationship Id="rId26" Type="http://schemas.openxmlformats.org/officeDocument/2006/relationships/hyperlink" Target="https://fdc.nal.usda.gov/fdc-app.html" TargetMode="External"/><Relationship Id="rId48" Type="http://schemas.openxmlformats.org/officeDocument/2006/relationships/table" Target="../tables/table1.xml"/><Relationship Id="rId25" Type="http://schemas.openxmlformats.org/officeDocument/2006/relationships/hyperlink" Target="https://fdc.nal.usda.gov/fdc-app.html" TargetMode="External"/><Relationship Id="rId28" Type="http://schemas.openxmlformats.org/officeDocument/2006/relationships/hyperlink" Target="https://fdc.nal.usda.gov/fdc-app.html" TargetMode="External"/><Relationship Id="rId27" Type="http://schemas.openxmlformats.org/officeDocument/2006/relationships/hyperlink" Target="https://fdc.nal.usda.gov/fdc-app.html" TargetMode="External"/><Relationship Id="rId5" Type="http://schemas.openxmlformats.org/officeDocument/2006/relationships/hyperlink" Target="https://fdc.nal.usda.gov/fdc-app.html" TargetMode="External"/><Relationship Id="rId6" Type="http://schemas.openxmlformats.org/officeDocument/2006/relationships/hyperlink" Target="https://fdc.nal.usda.gov/fdc-app.html" TargetMode="External"/><Relationship Id="rId29" Type="http://schemas.openxmlformats.org/officeDocument/2006/relationships/hyperlink" Target="https://fdc.nal.usda.gov/fdc-app.html" TargetMode="External"/><Relationship Id="rId7" Type="http://schemas.openxmlformats.org/officeDocument/2006/relationships/hyperlink" Target="https://fdc.nal.usda.gov/fdc-app.html" TargetMode="External"/><Relationship Id="rId8" Type="http://schemas.openxmlformats.org/officeDocument/2006/relationships/hyperlink" Target="https://fdc.nal.usda.gov/fdc-app.html" TargetMode="External"/><Relationship Id="rId31" Type="http://schemas.openxmlformats.org/officeDocument/2006/relationships/hyperlink" Target="https://fdc.nal.usda.gov/fdc-app.html" TargetMode="External"/><Relationship Id="rId30" Type="http://schemas.openxmlformats.org/officeDocument/2006/relationships/hyperlink" Target="https://fdc.nal.usda.gov/fdc-app.html" TargetMode="External"/><Relationship Id="rId11" Type="http://schemas.openxmlformats.org/officeDocument/2006/relationships/hyperlink" Target="https://fdc.nal.usda.gov/fdc-app.html" TargetMode="External"/><Relationship Id="rId33" Type="http://schemas.openxmlformats.org/officeDocument/2006/relationships/hyperlink" Target="https://fdc.nal.usda.gov/fdc-app.html" TargetMode="External"/><Relationship Id="rId10" Type="http://schemas.openxmlformats.org/officeDocument/2006/relationships/hyperlink" Target="https://fdc.nal.usda.gov/fdc-app.html" TargetMode="External"/><Relationship Id="rId32" Type="http://schemas.openxmlformats.org/officeDocument/2006/relationships/hyperlink" Target="https://fdc.nal.usda.gov/fdc-app.html" TargetMode="External"/><Relationship Id="rId13" Type="http://schemas.openxmlformats.org/officeDocument/2006/relationships/hyperlink" Target="https://fdc.nal.usda.gov/fdc-app.html" TargetMode="External"/><Relationship Id="rId35" Type="http://schemas.openxmlformats.org/officeDocument/2006/relationships/hyperlink" Target="https://fdc.nal.usda.gov/fdc-app.html" TargetMode="External"/><Relationship Id="rId12" Type="http://schemas.openxmlformats.org/officeDocument/2006/relationships/hyperlink" Target="https://fdc.nal.usda.gov/fdc-app.html" TargetMode="External"/><Relationship Id="rId34" Type="http://schemas.openxmlformats.org/officeDocument/2006/relationships/hyperlink" Target="https://fdc.nal.usda.gov/fdc-app.html" TargetMode="External"/><Relationship Id="rId15" Type="http://schemas.openxmlformats.org/officeDocument/2006/relationships/hyperlink" Target="https://fdc.nal.usda.gov/fdc-app.html" TargetMode="External"/><Relationship Id="rId37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4" Type="http://schemas.openxmlformats.org/officeDocument/2006/relationships/hyperlink" Target="https://fdc.nal.usda.gov/fdc-app.html" TargetMode="External"/><Relationship Id="rId36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7" Type="http://schemas.openxmlformats.org/officeDocument/2006/relationships/hyperlink" Target="https://fdc.nal.usda.gov/fdc-app.html" TargetMode="External"/><Relationship Id="rId39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6" Type="http://schemas.openxmlformats.org/officeDocument/2006/relationships/hyperlink" Target="https://fdc.nal.usda.gov/fdc-app.html" TargetMode="External"/><Relationship Id="rId38" Type="http://schemas.openxmlformats.org/officeDocument/2006/relationships/hyperlink" Target="https://www.monicasegal.com/K9Kitchen_The_Truth_Behind_The-Hype.html;%20https:/fdc.nal.usda.gov/fdc-app.html#/food-details/171119/nutrients;%20https://fdc.nal.usda.gov/fdc-app.html#/food-details/171452/nutrients" TargetMode="External"/><Relationship Id="rId19" Type="http://schemas.openxmlformats.org/officeDocument/2006/relationships/hyperlink" Target="https://fdc.nal.usda.gov/fdc-app.html" TargetMode="External"/><Relationship Id="rId18" Type="http://schemas.openxmlformats.org/officeDocument/2006/relationships/hyperlink" Target="https://fdc.nal.usda.gov/fdc-app.html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6.0"/>
    <col customWidth="1" min="2" max="2" width="19.71"/>
    <col customWidth="1" min="3" max="3" width="2.0"/>
    <col customWidth="1" min="4" max="4" width="20.14"/>
    <col customWidth="1" min="5" max="5" width="0.43"/>
    <col customWidth="1" min="6" max="6" width="9.43"/>
    <col customWidth="1" min="7" max="7" width="6.71"/>
    <col customWidth="1" min="8" max="8" width="13.14"/>
    <col customWidth="1" min="9" max="9" width="0.43"/>
    <col customWidth="1" min="10" max="10" width="11.86"/>
    <col customWidth="1" min="11" max="11" width="2.43"/>
    <col customWidth="1" min="12" max="12" width="3.43"/>
    <col customWidth="1" min="13" max="13" width="2.43"/>
    <col customWidth="1" min="14" max="17" width="9.29"/>
  </cols>
  <sheetData>
    <row r="1" ht="30.0" customHeight="1">
      <c r="A1" s="1"/>
      <c r="C1" s="2" t="str">
        <f>IF(P2="","",CONCATENATE('Weekly Feeding Schedule'!C1, "'S SHOPPING LIST"))</f>
        <v/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8.75" customHeight="1">
      <c r="C2" s="4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6"/>
    </row>
    <row r="3" ht="18.75" customHeight="1">
      <c r="C3" s="7" t="s">
        <v>1</v>
      </c>
      <c r="D3" s="8"/>
      <c r="E3" s="8"/>
      <c r="F3" s="8"/>
      <c r="G3" s="8"/>
      <c r="H3" s="8"/>
      <c r="I3" s="8"/>
      <c r="J3" s="8"/>
      <c r="K3" s="8"/>
      <c r="L3" s="9"/>
      <c r="M3" s="9"/>
      <c r="N3" s="10"/>
      <c r="O3" s="10"/>
      <c r="P3" s="11"/>
      <c r="Q3" s="12"/>
    </row>
    <row r="4" ht="18.75" customHeight="1">
      <c r="C4" s="7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2" t="s">
        <v>3</v>
      </c>
    </row>
    <row r="5" ht="18.75" customHeight="1">
      <c r="C5" s="7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4" t="s">
        <v>5</v>
      </c>
    </row>
    <row r="6" ht="18.75" customHeight="1">
      <c r="C6" s="7" t="s">
        <v>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5"/>
      <c r="Q6" s="16"/>
    </row>
    <row r="7" ht="18.75" customHeight="1">
      <c r="C7" s="7" t="s"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7"/>
      <c r="Q7" s="18" t="s">
        <v>8</v>
      </c>
    </row>
    <row r="8" ht="37.5" customHeight="1">
      <c r="A8" s="19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ht="18.0" customHeight="1">
      <c r="A9" s="21"/>
      <c r="B9" s="21" t="s">
        <v>9</v>
      </c>
      <c r="E9" s="22"/>
      <c r="F9" s="23" t="s">
        <v>10</v>
      </c>
      <c r="G9" s="24"/>
      <c r="H9" s="25" t="s">
        <v>11</v>
      </c>
      <c r="I9" s="26"/>
      <c r="J9" s="27" t="s">
        <v>12</v>
      </c>
      <c r="K9" s="28" t="s">
        <v>13</v>
      </c>
      <c r="L9" s="28" t="str">
        <f>$Q$3</f>
        <v/>
      </c>
      <c r="M9" s="28"/>
      <c r="N9" s="26" t="s">
        <v>14</v>
      </c>
    </row>
    <row r="10" ht="18.75" customHeight="1">
      <c r="A10" s="29" t="s">
        <v>15</v>
      </c>
      <c r="B10" s="30"/>
      <c r="C10" s="31"/>
      <c r="D10" s="6"/>
      <c r="E10" s="32"/>
      <c r="F10" s="33">
        <f>SUM('Weekly Feeding Schedule'!F8*(7*P7))</f>
        <v>0</v>
      </c>
      <c r="G10" s="34" t="s">
        <v>3</v>
      </c>
      <c r="H10" s="35">
        <f>SUM(J10/200)*F10</f>
        <v>0</v>
      </c>
      <c r="I10" s="36"/>
      <c r="J10" s="37"/>
      <c r="K10" s="38" t="s">
        <v>13</v>
      </c>
      <c r="L10" s="39" t="str">
        <f t="shared" ref="L10:L11" si="1">($Q$3)</f>
        <v/>
      </c>
      <c r="M10" s="39"/>
      <c r="N10" s="40" t="s">
        <v>16</v>
      </c>
      <c r="O10" s="41"/>
      <c r="P10" s="41"/>
      <c r="Q10" s="42"/>
    </row>
    <row r="11" ht="18.75" customHeight="1">
      <c r="A11" s="43"/>
      <c r="B11" s="44"/>
      <c r="C11" s="45"/>
      <c r="D11" s="46"/>
      <c r="E11" s="47"/>
      <c r="F11" s="48">
        <f>SUM('Weekly Feeding Schedule'!D15*(7*P7))</f>
        <v>0</v>
      </c>
      <c r="G11" s="49" t="s">
        <v>3</v>
      </c>
      <c r="H11" s="50">
        <f>SUM(J11*F11)</f>
        <v>0</v>
      </c>
      <c r="I11" s="51"/>
      <c r="J11" s="52"/>
      <c r="K11" s="53" t="s">
        <v>13</v>
      </c>
      <c r="L11" s="54" t="str">
        <f t="shared" si="1"/>
        <v/>
      </c>
      <c r="M11" s="54"/>
      <c r="N11" s="55" t="s">
        <v>17</v>
      </c>
      <c r="O11" s="56"/>
      <c r="P11" s="56"/>
      <c r="Q11" s="57"/>
    </row>
    <row r="12" ht="7.5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ht="18.75" customHeight="1">
      <c r="A13" s="60" t="s">
        <v>18</v>
      </c>
      <c r="B13" s="30"/>
      <c r="C13" s="31"/>
      <c r="D13" s="6"/>
      <c r="E13" s="32"/>
      <c r="F13" s="61" t="str">
        <f>IF('Shopping List'!$Q$3="lb",SUM(('Weekly Feeding Schedule'!D9*(2*$P$7)))/16,SUM(( 'Weekly Feeding Schedule'!F9*(2*$P$7)))/1000)</f>
        <v>#N/A</v>
      </c>
      <c r="G13" s="62" t="str">
        <f>'Shopping List'!$Q$3</f>
        <v/>
      </c>
      <c r="H13" s="35" t="str">
        <f>SUM(J13*F13)</f>
        <v>#N/A</v>
      </c>
      <c r="I13" s="63"/>
      <c r="J13" s="37"/>
      <c r="K13" s="64" t="s">
        <v>13</v>
      </c>
      <c r="L13" s="65" t="str">
        <f>($Q$3)</f>
        <v/>
      </c>
      <c r="M13" s="65"/>
      <c r="N13" s="66" t="s">
        <v>19</v>
      </c>
      <c r="O13" s="67"/>
      <c r="P13" s="67"/>
      <c r="Q13" s="68"/>
    </row>
    <row r="14" ht="18.75" customHeight="1">
      <c r="A14" s="69"/>
      <c r="B14" s="70"/>
      <c r="C14" s="71"/>
      <c r="D14" s="16"/>
      <c r="E14" s="47"/>
      <c r="F14" s="72" t="str">
        <f>IF('Shopping List'!$Q$3="lb",SUM(('Weekly Feeding Schedule'!D10*(2*$P$7))),SUM(( 'Weekly Feeding Schedule'!F10*(2*$P$7)))/1000)</f>
        <v>#N/A</v>
      </c>
      <c r="G14" s="73" t="s">
        <v>20</v>
      </c>
      <c r="H14" s="74" t="str">
        <f>SUM(J14/12)*F14</f>
        <v>#N/A</v>
      </c>
      <c r="I14" s="75"/>
      <c r="J14" s="76"/>
      <c r="K14" s="77" t="s">
        <v>13</v>
      </c>
      <c r="L14" s="78" t="s">
        <v>21</v>
      </c>
      <c r="M14" s="78"/>
      <c r="N14" s="79" t="s">
        <v>22</v>
      </c>
      <c r="O14" s="8"/>
      <c r="P14" s="8"/>
      <c r="Q14" s="80"/>
    </row>
    <row r="15" ht="18.75" customHeight="1">
      <c r="A15" s="43"/>
      <c r="B15" s="81"/>
      <c r="C15" s="45"/>
      <c r="D15" s="46"/>
      <c r="E15" s="32"/>
      <c r="F15" s="82">
        <f>IF('Shopping List'!$Q$3="lb",SUM(('Weekly Feeding Schedule'!D14*(2*$P$7)))/16,SUM(( 'Weekly Feeding Schedule'!F14*(2*$P$7)))/1000)</f>
        <v>0</v>
      </c>
      <c r="G15" s="83" t="str">
        <f>'Shopping List'!$Q$3</f>
        <v/>
      </c>
      <c r="H15" s="84">
        <f>SUM(J15*F15)</f>
        <v>0</v>
      </c>
      <c r="I15" s="85"/>
      <c r="J15" s="86"/>
      <c r="K15" s="87" t="s">
        <v>13</v>
      </c>
      <c r="L15" s="88" t="str">
        <f>($Q$3)</f>
        <v/>
      </c>
      <c r="M15" s="88"/>
      <c r="N15" s="89" t="s">
        <v>23</v>
      </c>
      <c r="O15" s="56"/>
      <c r="P15" s="56"/>
      <c r="Q15" s="57"/>
    </row>
    <row r="16" ht="7.5" customHeight="1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ht="18.75" customHeight="1">
      <c r="A17" s="60" t="s">
        <v>24</v>
      </c>
      <c r="B17" s="90"/>
      <c r="C17" s="31"/>
      <c r="D17" s="6"/>
      <c r="E17" s="47"/>
      <c r="F17" s="91" t="str">
        <f>IF('Shopping List'!$Q$3="lb",SUM(('Weekly Feeding Schedule'!D20*(2*$P$7)))/16,SUM(( 'Weekly Feeding Schedule'!F20*(2*$P$7)))/1000)</f>
        <v>#N/A</v>
      </c>
      <c r="G17" s="73" t="str">
        <f>'Shopping List'!$Q$3</f>
        <v/>
      </c>
      <c r="H17" s="92" t="str">
        <f t="shared" ref="H17:H19" si="2">SUM(J17*F17)</f>
        <v>#N/A</v>
      </c>
      <c r="I17" s="75"/>
      <c r="J17" s="93"/>
      <c r="K17" s="77" t="s">
        <v>13</v>
      </c>
      <c r="L17" s="78" t="str">
        <f t="shared" ref="L17:L19" si="3">($Q$3)</f>
        <v/>
      </c>
      <c r="M17" s="78"/>
      <c r="N17" s="94" t="s">
        <v>25</v>
      </c>
      <c r="O17" s="67"/>
      <c r="P17" s="67"/>
      <c r="Q17" s="68"/>
    </row>
    <row r="18" ht="18.75" customHeight="1">
      <c r="A18" s="69"/>
      <c r="B18" s="95"/>
      <c r="C18" s="71"/>
      <c r="D18" s="16"/>
      <c r="E18" s="32"/>
      <c r="F18" s="61" t="str">
        <f>IF('Shopping List'!$Q$3="lb",SUM(('Weekly Feeding Schedule'!D21*(2*$P$7)))/16,SUM(( 'Weekly Feeding Schedule'!F21*(2*$P$7)))/1000)</f>
        <v>#N/A</v>
      </c>
      <c r="G18" s="96" t="str">
        <f>'Shopping List'!$Q$3</f>
        <v/>
      </c>
      <c r="H18" s="97" t="str">
        <f t="shared" si="2"/>
        <v>#N/A</v>
      </c>
      <c r="I18" s="98"/>
      <c r="J18" s="99"/>
      <c r="K18" s="100" t="s">
        <v>13</v>
      </c>
      <c r="L18" s="101" t="str">
        <f t="shared" si="3"/>
        <v/>
      </c>
      <c r="M18" s="101"/>
      <c r="N18" s="102" t="s">
        <v>26</v>
      </c>
      <c r="O18" s="8"/>
      <c r="P18" s="8"/>
      <c r="Q18" s="80"/>
    </row>
    <row r="19" ht="18.75" customHeight="1">
      <c r="A19" s="43"/>
      <c r="B19" s="44"/>
      <c r="C19" s="45"/>
      <c r="D19" s="46"/>
      <c r="E19" s="47"/>
      <c r="F19" s="48">
        <f>IF('Shopping List'!$Q$3="lb",SUM(('Weekly Feeding Schedule'!D58*(2*$P$7)))/16,SUM(( 'Weekly Feeding Schedule'!F58*(2*$P$7)))/1000)</f>
        <v>0</v>
      </c>
      <c r="G19" s="103" t="str">
        <f>'Shopping List'!$Q$3</f>
        <v/>
      </c>
      <c r="H19" s="104">
        <f t="shared" si="2"/>
        <v>0</v>
      </c>
      <c r="I19" s="51"/>
      <c r="J19" s="52"/>
      <c r="K19" s="53" t="s">
        <v>13</v>
      </c>
      <c r="L19" s="54" t="str">
        <f t="shared" si="3"/>
        <v/>
      </c>
      <c r="M19" s="54"/>
      <c r="N19" s="55" t="s">
        <v>23</v>
      </c>
      <c r="O19" s="56"/>
      <c r="P19" s="56"/>
      <c r="Q19" s="57"/>
    </row>
    <row r="20" ht="7.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ht="18.75" customHeight="1">
      <c r="A21" s="60" t="s">
        <v>27</v>
      </c>
      <c r="B21" s="30"/>
      <c r="C21" s="31"/>
      <c r="D21" s="6"/>
      <c r="E21" s="32"/>
      <c r="F21" s="61" t="str">
        <f>IF('Shopping List'!$Q$3="lb",SUM(('Weekly Feeding Schedule'!D64*(2*$P$7)))/16,SUM(( 'Weekly Feeding Schedule'!F64*(2*$P$7)))/1000)</f>
        <v>#N/A</v>
      </c>
      <c r="G21" s="96" t="str">
        <f>'Shopping List'!$Q$3</f>
        <v/>
      </c>
      <c r="H21" s="97" t="str">
        <f t="shared" ref="H21:H23" si="4">SUM(J21*F21)</f>
        <v>#N/A</v>
      </c>
      <c r="I21" s="98"/>
      <c r="J21" s="37"/>
      <c r="K21" s="100" t="s">
        <v>13</v>
      </c>
      <c r="L21" s="101" t="str">
        <f t="shared" ref="L21:L23" si="5">($Q$3)</f>
        <v/>
      </c>
      <c r="M21" s="101"/>
      <c r="N21" s="66" t="s">
        <v>28</v>
      </c>
      <c r="O21" s="67"/>
      <c r="P21" s="67"/>
      <c r="Q21" s="68"/>
    </row>
    <row r="22" ht="18.75" customHeight="1">
      <c r="A22" s="69"/>
      <c r="B22" s="70"/>
      <c r="C22" s="71"/>
      <c r="D22" s="16"/>
      <c r="E22" s="47"/>
      <c r="F22" s="91" t="str">
        <f>IF('Shopping List'!$Q$3="lb",SUM(('Weekly Feeding Schedule'!D65*(2*$P$7)))/16,SUM(( 'Weekly Feeding Schedule'!F65*(2*$P$7)))/1000)</f>
        <v>#N/A</v>
      </c>
      <c r="G22" s="73" t="str">
        <f>'Shopping List'!$Q$3</f>
        <v/>
      </c>
      <c r="H22" s="92" t="str">
        <f t="shared" si="4"/>
        <v>#N/A</v>
      </c>
      <c r="I22" s="75"/>
      <c r="J22" s="76"/>
      <c r="K22" s="77" t="s">
        <v>13</v>
      </c>
      <c r="L22" s="78" t="str">
        <f t="shared" si="5"/>
        <v/>
      </c>
      <c r="M22" s="78"/>
      <c r="N22" s="79" t="s">
        <v>29</v>
      </c>
      <c r="O22" s="8"/>
      <c r="P22" s="8"/>
      <c r="Q22" s="80"/>
    </row>
    <row r="23" ht="18.75" customHeight="1">
      <c r="A23" s="43"/>
      <c r="B23" s="81"/>
      <c r="C23" s="45"/>
      <c r="D23" s="46"/>
      <c r="E23" s="32"/>
      <c r="F23" s="105">
        <f>IF('Shopping List'!$Q$3="lb",SUM(('Weekly Feeding Schedule'!D69*(2*$P$7)))/16,SUM(( 'Weekly Feeding Schedule'!F69*(2*$P$7)))/1000)</f>
        <v>0</v>
      </c>
      <c r="G23" s="83" t="str">
        <f>'Shopping List'!$Q$3</f>
        <v/>
      </c>
      <c r="H23" s="84">
        <f t="shared" si="4"/>
        <v>0</v>
      </c>
      <c r="I23" s="85"/>
      <c r="J23" s="86"/>
      <c r="K23" s="87" t="s">
        <v>13</v>
      </c>
      <c r="L23" s="88" t="str">
        <f t="shared" si="5"/>
        <v/>
      </c>
      <c r="M23" s="88"/>
      <c r="N23" s="89" t="s">
        <v>23</v>
      </c>
      <c r="O23" s="56"/>
      <c r="P23" s="56"/>
      <c r="Q23" s="57"/>
    </row>
    <row r="24" ht="7.5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ht="18.75" customHeight="1">
      <c r="A25" s="60" t="s">
        <v>30</v>
      </c>
      <c r="B25" s="106"/>
      <c r="C25" s="107"/>
      <c r="D25" s="108"/>
      <c r="E25" s="109"/>
      <c r="F25" s="110" t="s">
        <v>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</row>
    <row r="26" ht="18.75" customHeight="1">
      <c r="A26" s="69"/>
      <c r="B26" s="90"/>
      <c r="C26" s="31"/>
      <c r="D26" s="6"/>
      <c r="E26" s="47"/>
      <c r="F26" s="91" t="str">
        <f>IF('Shopping List'!$Q$3="lb",SUM(('Weekly Feeding Schedule'!D75*(1*$P$7)))/16,SUM(( 'Weekly Feeding Schedule'!F75*(1*$P$7)))/1000)</f>
        <v>#N/A</v>
      </c>
      <c r="G26" s="113" t="str">
        <f>'Shopping List'!$Q$3</f>
        <v/>
      </c>
      <c r="H26" s="74" t="str">
        <f t="shared" ref="H26:H28" si="6">SUM(J26*F26)</f>
        <v>#N/A</v>
      </c>
      <c r="I26" s="114"/>
      <c r="J26" s="115"/>
      <c r="K26" s="116" t="s">
        <v>13</v>
      </c>
      <c r="L26" s="117" t="str">
        <f t="shared" ref="L26:L28" si="7">($Q$3)</f>
        <v/>
      </c>
      <c r="M26" s="117"/>
      <c r="N26" s="94" t="str">
        <f>IF(B25="Raw Meaty Bone","Raw meaty bone.",IF(B25="Muscle Meat","Muscle meat.",""))</f>
        <v/>
      </c>
      <c r="O26" s="67"/>
      <c r="P26" s="67"/>
      <c r="Q26" s="68"/>
    </row>
    <row r="27" ht="18.75" customHeight="1">
      <c r="A27" s="69"/>
      <c r="B27" s="95"/>
      <c r="C27" s="71"/>
      <c r="D27" s="16"/>
      <c r="E27" s="32"/>
      <c r="F27" s="61" t="str">
        <f>IF('Shopping List'!$Q$3="lb",SUM(('Weekly Feeding Schedule'!D76*(1*$P$7)))/16,SUM(( 'Weekly Feeding Schedule'!F76*(1*$P$7)))/1000)</f>
        <v>#N/A</v>
      </c>
      <c r="G27" s="96" t="str">
        <f>'Shopping List'!$Q$3</f>
        <v/>
      </c>
      <c r="H27" s="97" t="str">
        <f t="shared" si="6"/>
        <v>#N/A</v>
      </c>
      <c r="I27" s="98"/>
      <c r="J27" s="99"/>
      <c r="K27" s="100" t="s">
        <v>13</v>
      </c>
      <c r="L27" s="101" t="str">
        <f t="shared" si="7"/>
        <v/>
      </c>
      <c r="M27" s="101"/>
      <c r="N27" s="102" t="s">
        <v>32</v>
      </c>
      <c r="O27" s="8"/>
      <c r="P27" s="8"/>
      <c r="Q27" s="80"/>
    </row>
    <row r="28" ht="18.75" customHeight="1">
      <c r="A28" s="43"/>
      <c r="B28" s="44"/>
      <c r="C28" s="45"/>
      <c r="D28" s="46"/>
      <c r="E28" s="47"/>
      <c r="F28" s="91">
        <f>IF('Shopping List'!$Q$3="lb",SUM(('Weekly Feeding Schedule'!D80*(1*$P$7)))/16,SUM(( 'Weekly Feeding Schedule'!F80*(1*$P$7)))/1000)</f>
        <v>0</v>
      </c>
      <c r="G28" s="118" t="str">
        <f>'Shopping List'!$Q$3</f>
        <v/>
      </c>
      <c r="H28" s="119">
        <f t="shared" si="6"/>
        <v>0</v>
      </c>
      <c r="I28" s="51"/>
      <c r="J28" s="52"/>
      <c r="K28" s="53" t="s">
        <v>13</v>
      </c>
      <c r="L28" s="54" t="str">
        <f t="shared" si="7"/>
        <v/>
      </c>
      <c r="M28" s="54"/>
      <c r="N28" s="55" t="s">
        <v>23</v>
      </c>
      <c r="O28" s="56"/>
      <c r="P28" s="56"/>
      <c r="Q28" s="57"/>
    </row>
    <row r="29" ht="15.75" customHeight="1">
      <c r="A29" s="20"/>
      <c r="B29" s="20"/>
      <c r="C29" s="20"/>
      <c r="D29" s="20"/>
      <c r="E29" s="120"/>
      <c r="F29" s="121" t="str">
        <f>SUM(F13:F28)</f>
        <v>#N/A</v>
      </c>
      <c r="G29" s="122" t="str">
        <f>G18</f>
        <v/>
      </c>
      <c r="H29" s="123" t="str">
        <f>SUM(H10:H28)</f>
        <v>#N/A</v>
      </c>
      <c r="I29" s="124"/>
      <c r="J29" s="124"/>
      <c r="K29" s="124"/>
      <c r="L29" s="124"/>
      <c r="M29" s="124"/>
      <c r="N29" s="124"/>
      <c r="O29" s="124"/>
      <c r="P29" s="124"/>
      <c r="Q29" s="124"/>
    </row>
    <row r="30" ht="15.75" customHeight="1">
      <c r="A30" s="20"/>
      <c r="B30" s="20"/>
      <c r="C30" s="20"/>
      <c r="D30" s="20"/>
      <c r="E30" s="125"/>
      <c r="F30" s="126" t="s">
        <v>33</v>
      </c>
      <c r="G30" s="127"/>
      <c r="H30" s="128" t="s">
        <v>34</v>
      </c>
      <c r="I30" s="125"/>
      <c r="J30" s="125" t="b">
        <v>0</v>
      </c>
      <c r="K30" s="125"/>
      <c r="L30" s="125"/>
      <c r="M30" s="125"/>
      <c r="N30" s="125"/>
      <c r="O30" s="125"/>
      <c r="P30" s="125"/>
      <c r="Q30" s="12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3">
    <mergeCell ref="B25:D25"/>
    <mergeCell ref="B26:D26"/>
    <mergeCell ref="B13:D13"/>
    <mergeCell ref="B14:D14"/>
    <mergeCell ref="A17:A19"/>
    <mergeCell ref="B17:D17"/>
    <mergeCell ref="B18:D18"/>
    <mergeCell ref="B19:D19"/>
    <mergeCell ref="B23:D23"/>
    <mergeCell ref="C6:O6"/>
    <mergeCell ref="P6:Q6"/>
    <mergeCell ref="C1:Q1"/>
    <mergeCell ref="C2:O2"/>
    <mergeCell ref="P2:Q2"/>
    <mergeCell ref="C3:K3"/>
    <mergeCell ref="C4:O4"/>
    <mergeCell ref="C5:O5"/>
    <mergeCell ref="C7:O7"/>
    <mergeCell ref="A1:B7"/>
    <mergeCell ref="B9:D9"/>
    <mergeCell ref="F9:G9"/>
    <mergeCell ref="A10:A11"/>
    <mergeCell ref="B10:D10"/>
    <mergeCell ref="B11:D11"/>
    <mergeCell ref="A13:A15"/>
    <mergeCell ref="B15:D15"/>
    <mergeCell ref="N9:Q9"/>
    <mergeCell ref="N10:Q10"/>
    <mergeCell ref="N11:Q11"/>
    <mergeCell ref="A12:Q12"/>
    <mergeCell ref="N13:Q13"/>
    <mergeCell ref="N14:Q14"/>
    <mergeCell ref="A16:Q16"/>
    <mergeCell ref="A20:Q20"/>
    <mergeCell ref="B21:D21"/>
    <mergeCell ref="B22:D22"/>
    <mergeCell ref="A24:Q24"/>
    <mergeCell ref="F25:Q25"/>
    <mergeCell ref="A21:A23"/>
    <mergeCell ref="A25:A28"/>
    <mergeCell ref="B27:D27"/>
    <mergeCell ref="B28:D28"/>
    <mergeCell ref="F30:G30"/>
    <mergeCell ref="N26:Q26"/>
    <mergeCell ref="N27:Q27"/>
    <mergeCell ref="N28:Q28"/>
    <mergeCell ref="N15:Q15"/>
    <mergeCell ref="N17:Q17"/>
    <mergeCell ref="N18:Q18"/>
    <mergeCell ref="N19:Q19"/>
    <mergeCell ref="N21:Q21"/>
    <mergeCell ref="N22:Q22"/>
    <mergeCell ref="N23:Q23"/>
  </mergeCells>
  <dataValidations>
    <dataValidation type="list" allowBlank="1" sqref="B14">
      <formula1>'Data Sheet'!$A$30:$A$32</formula1>
    </dataValidation>
    <dataValidation type="list" allowBlank="1" sqref="B25">
      <formula1>'List Ranges'!$A$1:$B$1</formula1>
    </dataValidation>
    <dataValidation type="list" allowBlank="1" sqref="B11">
      <formula1>'Data Sheet'!$A$41:$A$43</formula1>
    </dataValidation>
    <dataValidation type="list" allowBlank="1" sqref="B26">
      <formula1>IF(B25="Raw Meaty Bone",INDIRECT('List Ranges'!A2),IF(B25="Muscle Meat",INDIRECT('List Ranges'!B2)))</formula1>
    </dataValidation>
    <dataValidation type="list" allowBlank="1" sqref="B17">
      <formula1>'Data Sheet'!$A$24:$A$29</formula1>
    </dataValidation>
    <dataValidation type="list" allowBlank="1" sqref="Q3">
      <formula1>"LB,KG"</formula1>
    </dataValidation>
    <dataValidation type="list" allowBlank="1" sqref="B21">
      <formula1>'Data Sheet'!$A$13:$A$16</formula1>
    </dataValidation>
    <dataValidation type="list" allowBlank="1" showErrorMessage="1" sqref="P6">
      <formula1>"5%,10%,15%,20%"</formula1>
    </dataValidation>
    <dataValidation type="list" allowBlank="1" sqref="B18">
      <formula1>'Data Sheet'!$A$17:$A$23</formula1>
    </dataValidation>
    <dataValidation type="list" allowBlank="1" sqref="B28">
      <formula1>'Data Sheet'!$A$52:$A$53</formula1>
    </dataValidation>
    <dataValidation type="list" allowBlank="1" sqref="B27">
      <formula1>'Data Sheet'!$A$49:$A$51</formula1>
    </dataValidation>
    <dataValidation type="list" allowBlank="1" sqref="B19">
      <formula1>'Data Sheet'!$A$39:$A$40</formula1>
    </dataValidation>
    <dataValidation type="list" allowBlank="1" sqref="B22">
      <formula1>'Data Sheet'!$A$33:$A$34</formula1>
    </dataValidation>
    <dataValidation type="list" allowBlank="1" sqref="B15">
      <formula1>'Data Sheet'!$A$35:$A$36</formula1>
    </dataValidation>
    <dataValidation type="list" allowBlank="1" sqref="B23">
      <formula1>'Data Sheet'!$A$37:$A$38</formula1>
    </dataValidation>
    <dataValidation type="list" allowBlank="1" sqref="B13">
      <formula1>'Data Sheet'!$A$8:$A$12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2" width="15.71"/>
    <col customWidth="1" min="3" max="3" width="37.86"/>
    <col customWidth="1" min="4" max="9" width="7.57"/>
  </cols>
  <sheetData>
    <row r="1" ht="30.0" customHeight="1">
      <c r="A1" s="19"/>
      <c r="C1" s="129" t="str">
        <f>UPPER('Shopping List'!P2)</f>
        <v/>
      </c>
    </row>
    <row r="2" ht="15.75" customHeight="1">
      <c r="C2" s="23" t="str">
        <f>UPPER("Dry Dog Food + Fresh Food Weekly Feeding Schedule")</f>
        <v>DRY DOG FOOD + FRESH FOOD WEEKLY FEEDING SCHEDULE</v>
      </c>
      <c r="D2" s="130"/>
      <c r="E2" s="130"/>
      <c r="F2" s="130"/>
      <c r="G2" s="130"/>
      <c r="H2" s="130"/>
      <c r="I2" s="24"/>
    </row>
    <row r="3" ht="15.75" customHeight="1">
      <c r="C3" s="4" t="s">
        <v>35</v>
      </c>
      <c r="D3" s="131"/>
      <c r="E3" s="4"/>
      <c r="F3" s="4"/>
      <c r="G3" s="132">
        <f>SUM(100%-'Shopping List'!P6)</f>
        <v>1</v>
      </c>
      <c r="H3" s="133">
        <f>SUM('Weekly Feeding Schedule'!H5*G3)</f>
        <v>0</v>
      </c>
      <c r="I3" s="133" t="s">
        <v>5</v>
      </c>
    </row>
    <row r="4" ht="15.75" customHeight="1">
      <c r="C4" s="7" t="s">
        <v>36</v>
      </c>
      <c r="D4" s="134"/>
      <c r="E4" s="7"/>
      <c r="F4" s="7"/>
      <c r="G4" s="135" t="str">
        <f>'Shopping List'!$P$6</f>
        <v/>
      </c>
      <c r="H4" s="136">
        <f>SUM('Weekly Feeding Schedule'!H5*'Shopping List'!P6)</f>
        <v>0</v>
      </c>
      <c r="I4" s="136" t="s">
        <v>5</v>
      </c>
    </row>
    <row r="5" ht="15.75" customHeight="1">
      <c r="C5" s="7" t="s">
        <v>37</v>
      </c>
      <c r="D5" s="137"/>
      <c r="E5" s="138"/>
      <c r="F5" s="138"/>
      <c r="G5" s="139">
        <f>SUM(G3+'Shopping List'!P6)</f>
        <v>1</v>
      </c>
      <c r="H5" s="140">
        <f>SUM('Shopping List'!P4*'Shopping List'!P5)</f>
        <v>0</v>
      </c>
      <c r="I5" s="141" t="s">
        <v>5</v>
      </c>
    </row>
    <row r="6" ht="33.75" customHeight="1">
      <c r="A6" s="19"/>
      <c r="B6" s="19"/>
      <c r="C6" s="142"/>
      <c r="D6" s="142"/>
      <c r="E6" s="142"/>
      <c r="F6" s="142"/>
      <c r="G6" s="143"/>
      <c r="H6" s="144"/>
      <c r="I6" s="145" t="str">
        <f>IF('Shopping List'!Q3="LB","OZ","G")</f>
        <v>G</v>
      </c>
    </row>
    <row r="7" ht="18.75" customHeight="1">
      <c r="A7" s="146" t="s">
        <v>38</v>
      </c>
      <c r="B7" s="21" t="s">
        <v>39</v>
      </c>
      <c r="C7" s="147"/>
      <c r="D7" s="148" t="s">
        <v>40</v>
      </c>
      <c r="E7" s="149"/>
      <c r="F7" s="149"/>
      <c r="G7" s="150"/>
      <c r="H7" s="151" t="s">
        <v>41</v>
      </c>
      <c r="I7" s="149"/>
    </row>
    <row r="8" ht="18.75" customHeight="1">
      <c r="A8" s="152"/>
      <c r="B8" s="153" t="s">
        <v>42</v>
      </c>
      <c r="C8" s="154" t="str">
        <f>'Shopping List'!$B$10</f>
        <v/>
      </c>
      <c r="D8" s="155">
        <f>F8</f>
        <v>0</v>
      </c>
      <c r="E8" s="156" t="s">
        <v>43</v>
      </c>
      <c r="F8" s="157">
        <f>SUM('Shopping List'!$P$4*$G$3)</f>
        <v>0</v>
      </c>
      <c r="G8" s="158" t="s">
        <v>43</v>
      </c>
      <c r="H8" s="159">
        <f>SUM($H$3)</f>
        <v>0</v>
      </c>
      <c r="I8" s="160" t="str">
        <f>'Weekly Feeding Schedule'!$I$5</f>
        <v>KCAL</v>
      </c>
    </row>
    <row r="9" ht="18.75" customHeight="1">
      <c r="A9" s="152"/>
      <c r="B9" s="161" t="str">
        <f>(VLOOKUP(C9,'Data Sheet'!$A$8:$AB$43,2,FALSE))</f>
        <v>#N/A</v>
      </c>
      <c r="C9" s="162" t="str">
        <f>'Shopping List'!B13</f>
        <v/>
      </c>
      <c r="D9" s="163" t="str">
        <f>F9/28.35</f>
        <v>#N/A</v>
      </c>
      <c r="E9" s="164" t="s">
        <v>44</v>
      </c>
      <c r="F9" s="165" t="str">
        <f>SUM(($H$4)*(VLOOKUP(C9,'Data Sheet'!$A$8:$AB$155,4,FALSE)))/((VLOOKUP(C9,'Data Sheet'!$A$8:$AB$155,5,FALSE)/VLOOKUP(C9,'Data Sheet'!$A$8:$AB$155,6,FALSE)))</f>
        <v>#N/A</v>
      </c>
      <c r="G9" s="166" t="s">
        <v>45</v>
      </c>
      <c r="H9" s="167" t="str">
        <f>SUM(VLOOKUP(C9,'Data Sheet'!$A$8:$AB$155,5,FALSE)/(VLOOKUP(C9,'Data Sheet'!$A$8:$AB$155,6,FALSE)))*F9</f>
        <v>#N/A</v>
      </c>
      <c r="I9" s="168" t="str">
        <f>'Weekly Feeding Schedule'!$I$5</f>
        <v>KCAL</v>
      </c>
    </row>
    <row r="10" ht="18.75" customHeight="1">
      <c r="A10" s="152"/>
      <c r="B10" s="169" t="str">
        <f>(VLOOKUP(C10,'Data Sheet'!$A$8:$AB$43,2,FALSE))</f>
        <v>#N/A</v>
      </c>
      <c r="C10" s="170" t="str">
        <f>'Shopping List'!B14</f>
        <v/>
      </c>
      <c r="D10" s="171" t="b">
        <f>IF( C10="Chicken Egg, large, no shell", SUM(F10/50), IF(C10="Duck Egg, no shell",SUM(F10/70),IF(C10="Quail Egg, no shell", SUM(F10/9))))</f>
        <v>0</v>
      </c>
      <c r="E10" s="172" t="s">
        <v>46</v>
      </c>
      <c r="F10" s="173" t="str">
        <f>SUM(($H$4)*(VLOOKUP(C10,'Data Sheet'!$A$8:$AB$155,4,FALSE)))/((VLOOKUP(C10,'Data Sheet'!$A$8:$AB$155,5,FALSE)/VLOOKUP(C10,'Data Sheet'!$A$8:$AB$155,6,FALSE)))</f>
        <v>#N/A</v>
      </c>
      <c r="G10" s="174" t="s">
        <v>45</v>
      </c>
      <c r="H10" s="175" t="str">
        <f>SUM(VLOOKUP(C10,'Data Sheet'!$A$8:$AB$155,5,FALSE)/(VLOOKUP(C10,'Data Sheet'!$A$8:$AB$155,6,FALSE)))*F10</f>
        <v>#N/A</v>
      </c>
      <c r="I10" s="176"/>
    </row>
    <row r="11" ht="18.75" customHeight="1">
      <c r="A11" s="152"/>
      <c r="B11" s="20"/>
      <c r="C11" s="177"/>
      <c r="D11" s="178" t="str">
        <f>SUM(F11/28.35)</f>
        <v>#N/A</v>
      </c>
      <c r="E11" s="179" t="str">
        <f>E9</f>
        <v>OZ</v>
      </c>
      <c r="F11" s="180" t="str">
        <f>SUM(F9:F10)+(F8*('Data Sheet'!$B$4*'Data Sheet'!$B$5))</f>
        <v>#N/A</v>
      </c>
      <c r="G11" s="181" t="str">
        <f>G9</f>
        <v>G</v>
      </c>
      <c r="H11" s="182" t="str">
        <f>SUM(H8:H10)</f>
        <v>#N/A</v>
      </c>
      <c r="I11" s="183" t="str">
        <f>I8</f>
        <v>KCAL</v>
      </c>
    </row>
    <row r="12" ht="18.75" customHeight="1">
      <c r="A12" s="152"/>
      <c r="B12" s="184"/>
      <c r="C12" s="184"/>
      <c r="D12" s="184"/>
      <c r="E12" s="184"/>
      <c r="F12" s="184"/>
      <c r="G12" s="19"/>
      <c r="H12" s="184"/>
      <c r="I12" s="184"/>
    </row>
    <row r="13" ht="18.75" customHeight="1">
      <c r="A13" s="152"/>
      <c r="B13" s="185" t="s">
        <v>47</v>
      </c>
      <c r="C13" s="150"/>
      <c r="D13" s="148" t="s">
        <v>40</v>
      </c>
      <c r="E13" s="149"/>
      <c r="F13" s="149"/>
      <c r="G13" s="150"/>
      <c r="H13" s="151" t="s">
        <v>41</v>
      </c>
      <c r="I13" s="149"/>
    </row>
    <row r="14" ht="18.75" customHeight="1">
      <c r="A14" s="152"/>
      <c r="B14" s="161" t="str">
        <f>(VLOOKUP(C14,'Data Sheet'!$A$8:$AB$43,2,FALSE))</f>
        <v>#N/A</v>
      </c>
      <c r="C14" s="186" t="str">
        <f>'Shopping List'!B15</f>
        <v/>
      </c>
      <c r="D14" s="163">
        <f>F14/28.35</f>
        <v>0</v>
      </c>
      <c r="E14" s="187" t="s">
        <v>44</v>
      </c>
      <c r="F14" s="165">
        <f>SUM(('Data Sheet'!B2/'Data Sheet'!$B$1)*$H$5)*224%</f>
        <v>0</v>
      </c>
      <c r="G14" s="187" t="s">
        <v>45</v>
      </c>
      <c r="H14" s="167" t="str">
        <f>SUM(VLOOKUP(C14,'Data Sheet'!$A$8:$AB$155,5,FALSE)/(VLOOKUP(C14,'Data Sheet'!$A$8:$AB$155,6,FALSE)))*F14</f>
        <v>#N/A</v>
      </c>
      <c r="I14" s="188" t="str">
        <f>'Weekly Feeding Schedule'!$I$5</f>
        <v>KCAL</v>
      </c>
    </row>
    <row r="15" ht="18.75" customHeight="1">
      <c r="A15" s="189"/>
      <c r="B15" s="169" t="str">
        <f>(VLOOKUP(C15,'Data Sheet'!$A$8:$AB$43,2,FALSE))</f>
        <v>#N/A</v>
      </c>
      <c r="C15" s="190" t="str">
        <f>'Shopping List'!B11</f>
        <v/>
      </c>
      <c r="D15" s="171">
        <f>SUM(D8/2)</f>
        <v>0</v>
      </c>
      <c r="E15" s="191" t="s">
        <v>43</v>
      </c>
      <c r="F15" s="173">
        <f>SUM(D15*'Data Sheet'!$B$3)</f>
        <v>0</v>
      </c>
      <c r="G15" s="191" t="s">
        <v>45</v>
      </c>
      <c r="H15" s="175" t="str">
        <f>SUM(VLOOKUP(C15,'Data Sheet'!$A$8:$AB$155,5,FALSE)/(VLOOKUP(C15,'Data Sheet'!$A$8:$AB$155,6,FALSE)))*F15</f>
        <v>#N/A</v>
      </c>
      <c r="I15" s="176"/>
    </row>
    <row r="16" ht="18.75" customHeight="1">
      <c r="A16" s="192"/>
      <c r="B16" s="192"/>
      <c r="C16" s="192"/>
      <c r="D16" s="178">
        <f>SUM(F16/28.35)</f>
        <v>0</v>
      </c>
      <c r="E16" s="179" t="str">
        <f>E14</f>
        <v>OZ</v>
      </c>
      <c r="F16" s="180">
        <f>SUM(F14:F15)</f>
        <v>0</v>
      </c>
      <c r="G16" s="181" t="str">
        <f>G14</f>
        <v>G</v>
      </c>
      <c r="H16" s="182" t="str">
        <f>SUM(H14:H15)</f>
        <v>#N/A</v>
      </c>
      <c r="I16" s="183" t="str">
        <f>I14</f>
        <v>KCAL</v>
      </c>
    </row>
    <row r="17" ht="16.5" customHeight="1">
      <c r="A17" s="192"/>
      <c r="B17" s="192"/>
      <c r="C17" s="192"/>
      <c r="D17" s="178"/>
      <c r="E17" s="179"/>
      <c r="F17" s="180"/>
      <c r="G17" s="193"/>
      <c r="H17" s="194"/>
      <c r="I17" s="195"/>
    </row>
    <row r="18" ht="18.75" customHeight="1">
      <c r="A18" s="146" t="s">
        <v>48</v>
      </c>
      <c r="B18" s="21" t="s">
        <v>39</v>
      </c>
      <c r="C18" s="147"/>
      <c r="D18" s="148" t="s">
        <v>40</v>
      </c>
      <c r="E18" s="149"/>
      <c r="F18" s="149"/>
      <c r="G18" s="150"/>
      <c r="H18" s="151" t="s">
        <v>41</v>
      </c>
      <c r="I18" s="149"/>
    </row>
    <row r="19" ht="18.75" customHeight="1">
      <c r="A19" s="152"/>
      <c r="B19" s="153" t="s">
        <v>42</v>
      </c>
      <c r="C19" s="154" t="str">
        <f>'Shopping List'!$B$10</f>
        <v/>
      </c>
      <c r="D19" s="155">
        <f>F19</f>
        <v>0</v>
      </c>
      <c r="E19" s="156" t="s">
        <v>43</v>
      </c>
      <c r="F19" s="157">
        <f>SUM('Shopping List'!$P$4*$G$3)</f>
        <v>0</v>
      </c>
      <c r="G19" s="158" t="s">
        <v>43</v>
      </c>
      <c r="H19" s="159">
        <f>SUM($H$3)</f>
        <v>0</v>
      </c>
      <c r="I19" s="160" t="str">
        <f>'Weekly Feeding Schedule'!$I$5</f>
        <v>KCAL</v>
      </c>
    </row>
    <row r="20" ht="18.75" customHeight="1">
      <c r="A20" s="152"/>
      <c r="B20" s="161" t="str">
        <f>(VLOOKUP(C20,'Data Sheet'!$A$8:$AB$43,2,FALSE))</f>
        <v>#N/A</v>
      </c>
      <c r="C20" s="162" t="str">
        <f>'Shopping List'!B17</f>
        <v/>
      </c>
      <c r="D20" s="163" t="str">
        <f t="shared" ref="D20:D21" si="1">F20/28.35</f>
        <v>#N/A</v>
      </c>
      <c r="E20" s="164" t="s">
        <v>44</v>
      </c>
      <c r="F20" s="165" t="str">
        <f>SUM(($H$4)*(VLOOKUP(C20,'Data Sheet'!$A$8:$AB$155,4,FALSE)))/((VLOOKUP(C20,'Data Sheet'!$A$8:$AB$155,5,FALSE)/VLOOKUP(C20,'Data Sheet'!$A$8:$AB$155,6,FALSE)))</f>
        <v>#N/A</v>
      </c>
      <c r="G20" s="166" t="s">
        <v>45</v>
      </c>
      <c r="H20" s="167" t="str">
        <f>SUM(VLOOKUP(C20,'Data Sheet'!$A$8:$AB$155,5,FALSE)/(VLOOKUP(C20,'Data Sheet'!$A$8:$AB$155,6,FALSE)))*F20</f>
        <v>#N/A</v>
      </c>
      <c r="I20" s="168" t="str">
        <f>'Weekly Feeding Schedule'!$I$5</f>
        <v>KCAL</v>
      </c>
    </row>
    <row r="21" ht="18.75" customHeight="1">
      <c r="A21" s="152"/>
      <c r="B21" s="169" t="str">
        <f>(VLOOKUP(C21,'Data Sheet'!$A$8:$AB$43,2,FALSE))</f>
        <v>#N/A</v>
      </c>
      <c r="C21" s="170" t="str">
        <f>'Shopping List'!B18</f>
        <v/>
      </c>
      <c r="D21" s="171" t="str">
        <f t="shared" si="1"/>
        <v>#N/A</v>
      </c>
      <c r="E21" s="172" t="s">
        <v>44</v>
      </c>
      <c r="F21" s="173" t="str">
        <f>SUM(($H$4)*(VLOOKUP(C21,'Data Sheet'!$A$8:$AB$155,4,FALSE)))/((VLOOKUP(C21,'Data Sheet'!$A$8:$AB$155,5,FALSE)/VLOOKUP(C21,'Data Sheet'!$A$8:$AB$155,6,FALSE)))</f>
        <v>#N/A</v>
      </c>
      <c r="G21" s="174" t="s">
        <v>45</v>
      </c>
      <c r="H21" s="175" t="str">
        <f>SUM(VLOOKUP(C21,'Data Sheet'!$A$8:$AB$155,5,FALSE)/(VLOOKUP(C21,'Data Sheet'!$A$8:$AB$155,6,FALSE)))*F21</f>
        <v>#N/A</v>
      </c>
      <c r="I21" s="176"/>
    </row>
    <row r="22" ht="18.75" customHeight="1">
      <c r="A22" s="152"/>
      <c r="B22" s="20"/>
      <c r="C22" s="177"/>
      <c r="D22" s="178" t="str">
        <f>SUM(F22/28.35)</f>
        <v>#N/A</v>
      </c>
      <c r="E22" s="179" t="str">
        <f>E20</f>
        <v>OZ</v>
      </c>
      <c r="F22" s="180" t="str">
        <f>SUM(F20:F21)+(F19*('Data Sheet'!$B$4*'Data Sheet'!$B$5))</f>
        <v>#N/A</v>
      </c>
      <c r="G22" s="181" t="str">
        <f>G20</f>
        <v>G</v>
      </c>
      <c r="H22" s="182" t="str">
        <f>SUM(H19:H21)</f>
        <v>#N/A</v>
      </c>
      <c r="I22" s="183" t="str">
        <f>I19</f>
        <v>KCAL</v>
      </c>
    </row>
    <row r="23" ht="18.75" customHeight="1">
      <c r="A23" s="152"/>
      <c r="B23" s="184"/>
      <c r="C23" s="184"/>
      <c r="D23" s="184"/>
      <c r="E23" s="184"/>
      <c r="F23" s="184"/>
      <c r="G23" s="19"/>
      <c r="H23" s="184"/>
      <c r="I23" s="184"/>
    </row>
    <row r="24" ht="18.75" customHeight="1">
      <c r="A24" s="152"/>
      <c r="B24" s="185" t="s">
        <v>47</v>
      </c>
      <c r="C24" s="150"/>
      <c r="D24" s="148" t="s">
        <v>40</v>
      </c>
      <c r="E24" s="149"/>
      <c r="F24" s="149"/>
      <c r="G24" s="150"/>
      <c r="H24" s="151" t="s">
        <v>41</v>
      </c>
      <c r="I24" s="149"/>
    </row>
    <row r="25" ht="18.75" customHeight="1">
      <c r="A25" s="152"/>
      <c r="B25" s="161" t="str">
        <f>(VLOOKUP(C25,'Data Sheet'!$A$8:$AB$43,2,FALSE))</f>
        <v>#N/A</v>
      </c>
      <c r="C25" s="186" t="str">
        <f>'Shopping List'!B19</f>
        <v/>
      </c>
      <c r="D25" s="163">
        <f>F25/28.35</f>
        <v>0</v>
      </c>
      <c r="E25" s="187" t="s">
        <v>44</v>
      </c>
      <c r="F25" s="165">
        <f>SUM((19/1000)*$H$5)*2.24</f>
        <v>0</v>
      </c>
      <c r="G25" s="187" t="s">
        <v>45</v>
      </c>
      <c r="H25" s="167" t="str">
        <f>SUM(VLOOKUP(C25,'Data Sheet'!$A$8:$AB$155,5,FALSE)/(VLOOKUP(C25,'Data Sheet'!$A$8:$AB$155,6,FALSE)))*F25</f>
        <v>#N/A</v>
      </c>
      <c r="I25" s="188" t="str">
        <f>'Weekly Feeding Schedule'!$I$5</f>
        <v>KCAL</v>
      </c>
    </row>
    <row r="26" ht="18.75" customHeight="1">
      <c r="A26" s="189"/>
      <c r="B26" s="169" t="str">
        <f>(VLOOKUP(C26,'Data Sheet'!$A$8:$AB$43,2,FALSE))</f>
        <v>#N/A</v>
      </c>
      <c r="C26" s="190" t="str">
        <f>'Shopping List'!B11</f>
        <v/>
      </c>
      <c r="D26" s="171">
        <f>SUM(D19/2)</f>
        <v>0</v>
      </c>
      <c r="E26" s="191" t="s">
        <v>43</v>
      </c>
      <c r="F26" s="173">
        <f>SUM(D26*219)</f>
        <v>0</v>
      </c>
      <c r="G26" s="191" t="s">
        <v>45</v>
      </c>
      <c r="H26" s="175" t="str">
        <f>SUM(VLOOKUP(C26,'Data Sheet'!$A$8:$AB$43,5,FALSE)/(VLOOKUP(C26,'Data Sheet'!$A$8:$AB$43,6,FALSE)))*F26</f>
        <v>#N/A</v>
      </c>
      <c r="I26" s="176"/>
    </row>
    <row r="27" ht="18.75" customHeight="1">
      <c r="A27" s="192"/>
      <c r="B27" s="192"/>
      <c r="C27" s="192"/>
      <c r="D27" s="178">
        <f>SUM(F27/28.35)</f>
        <v>0</v>
      </c>
      <c r="E27" s="179" t="str">
        <f>E25</f>
        <v>OZ</v>
      </c>
      <c r="F27" s="180">
        <f>SUM(F25:F26)</f>
        <v>0</v>
      </c>
      <c r="G27" s="181" t="str">
        <f>G25</f>
        <v>G</v>
      </c>
      <c r="H27" s="182" t="str">
        <f>SUM(H25:H26)</f>
        <v>#N/A</v>
      </c>
      <c r="I27" s="183" t="str">
        <f>I25</f>
        <v>KCAL</v>
      </c>
    </row>
    <row r="28" ht="16.5" customHeight="1">
      <c r="A28" s="192"/>
      <c r="B28" s="192"/>
      <c r="C28" s="192"/>
      <c r="D28" s="178"/>
      <c r="E28" s="179"/>
      <c r="F28" s="180"/>
      <c r="G28" s="193"/>
      <c r="H28" s="194"/>
      <c r="I28" s="195"/>
    </row>
    <row r="29" ht="18.75" customHeight="1">
      <c r="A29" s="146" t="s">
        <v>49</v>
      </c>
      <c r="B29" s="21" t="s">
        <v>39</v>
      </c>
      <c r="C29" s="147"/>
      <c r="D29" s="148" t="s">
        <v>40</v>
      </c>
      <c r="E29" s="149"/>
      <c r="F29" s="149"/>
      <c r="G29" s="150"/>
      <c r="H29" s="151" t="s">
        <v>41</v>
      </c>
      <c r="I29" s="149"/>
    </row>
    <row r="30" ht="18.75" customHeight="1">
      <c r="A30" s="152"/>
      <c r="B30" s="153" t="s">
        <v>42</v>
      </c>
      <c r="C30" s="154" t="str">
        <f>'Shopping List'!$B$10</f>
        <v/>
      </c>
      <c r="D30" s="155">
        <f>F30</f>
        <v>0</v>
      </c>
      <c r="E30" s="156" t="s">
        <v>43</v>
      </c>
      <c r="F30" s="157">
        <f>SUM('Shopping List'!$P$4*$G$3)</f>
        <v>0</v>
      </c>
      <c r="G30" s="158" t="s">
        <v>43</v>
      </c>
      <c r="H30" s="159">
        <f>SUM($H$3)</f>
        <v>0</v>
      </c>
      <c r="I30" s="160" t="str">
        <f>'Weekly Feeding Schedule'!$I$5</f>
        <v>KCAL</v>
      </c>
    </row>
    <row r="31" ht="18.75" customHeight="1">
      <c r="A31" s="152"/>
      <c r="B31" s="161" t="str">
        <f>(VLOOKUP(C31,'Data Sheet'!$A$8:$AB$43,2,FALSE))</f>
        <v>#N/A</v>
      </c>
      <c r="C31" s="162" t="str">
        <f>'Shopping List'!B21</f>
        <v/>
      </c>
      <c r="D31" s="163" t="str">
        <f>F31/28.35</f>
        <v>#N/A</v>
      </c>
      <c r="E31" s="164" t="s">
        <v>44</v>
      </c>
      <c r="F31" s="165" t="str">
        <f>SUM(($H$4)*(VLOOKUP(C31,'Data Sheet'!$A$8:$AB$155,4,FALSE)))/((VLOOKUP(C31,'Data Sheet'!$A$8:$AB$155,5,FALSE)/VLOOKUP(C31,'Data Sheet'!$A$8:$AB$155,6,FALSE)))</f>
        <v>#N/A</v>
      </c>
      <c r="G31" s="166" t="s">
        <v>45</v>
      </c>
      <c r="H31" s="167" t="str">
        <f>SUM(VLOOKUP(C31,'Data Sheet'!$A$8:$AB$155,5,FALSE)/(VLOOKUP(C31,'Data Sheet'!$A$8:$AB$155,6,FALSE)))*F31</f>
        <v>#N/A</v>
      </c>
      <c r="I31" s="168" t="str">
        <f>'Weekly Feeding Schedule'!$I$5</f>
        <v>KCAL</v>
      </c>
    </row>
    <row r="32" ht="18.75" customHeight="1">
      <c r="A32" s="152"/>
      <c r="B32" s="169" t="str">
        <f>(VLOOKUP(C32,'Data Sheet'!$A$8:$AB$43,2,FALSE))</f>
        <v>#N/A</v>
      </c>
      <c r="C32" s="170" t="str">
        <f>'Shopping List'!B22</f>
        <v/>
      </c>
      <c r="D32" s="171" t="str">
        <f>F76/28.35</f>
        <v>#N/A</v>
      </c>
      <c r="E32" s="172" t="s">
        <v>44</v>
      </c>
      <c r="F32" s="173" t="str">
        <f>SUM(($H$4)*(VLOOKUP(C32,'Data Sheet'!$A$8:$AB$155,4,FALSE)))/((VLOOKUP(C32,'Data Sheet'!$A$8:$AB$155,5,FALSE)/VLOOKUP(C32,'Data Sheet'!$A$8:$AB$155,6,FALSE)))</f>
        <v>#N/A</v>
      </c>
      <c r="G32" s="174" t="s">
        <v>45</v>
      </c>
      <c r="H32" s="175" t="str">
        <f>SUM(VLOOKUP(C32,'Data Sheet'!$A$8:$AB$155,5,FALSE)/(VLOOKUP(C32,'Data Sheet'!$A$8:$AB$155,6,FALSE)))*F32</f>
        <v>#N/A</v>
      </c>
      <c r="I32" s="176"/>
    </row>
    <row r="33" ht="18.75" customHeight="1">
      <c r="A33" s="152"/>
      <c r="B33" s="20"/>
      <c r="C33" s="177"/>
      <c r="D33" s="178" t="str">
        <f>SUM(F33/28.35)</f>
        <v>#N/A</v>
      </c>
      <c r="E33" s="179" t="str">
        <f>E31</f>
        <v>OZ</v>
      </c>
      <c r="F33" s="180" t="str">
        <f>SUM(F31:F32)+(F30*('Data Sheet'!$B$4*'Data Sheet'!$B$5))</f>
        <v>#N/A</v>
      </c>
      <c r="G33" s="181" t="str">
        <f>G31</f>
        <v>G</v>
      </c>
      <c r="H33" s="182" t="str">
        <f>SUM(H30:H32)</f>
        <v>#N/A</v>
      </c>
      <c r="I33" s="183" t="str">
        <f>I30</f>
        <v>KCAL</v>
      </c>
    </row>
    <row r="34" ht="18.75" customHeight="1">
      <c r="A34" s="152"/>
      <c r="B34" s="184"/>
      <c r="C34" s="184"/>
      <c r="D34" s="184"/>
      <c r="E34" s="184"/>
      <c r="F34" s="184"/>
      <c r="G34" s="19"/>
      <c r="H34" s="184"/>
      <c r="I34" s="184"/>
    </row>
    <row r="35" ht="18.75" customHeight="1">
      <c r="A35" s="152"/>
      <c r="B35" s="185" t="s">
        <v>47</v>
      </c>
      <c r="C35" s="150"/>
      <c r="D35" s="148" t="s">
        <v>40</v>
      </c>
      <c r="E35" s="149"/>
      <c r="F35" s="149"/>
      <c r="G35" s="150"/>
      <c r="H35" s="151" t="s">
        <v>41</v>
      </c>
      <c r="I35" s="149"/>
    </row>
    <row r="36" ht="18.75" customHeight="1">
      <c r="A36" s="152"/>
      <c r="B36" s="161" t="str">
        <f>(VLOOKUP(C36,'Data Sheet'!$A$8:$AB$43,2,FALSE))</f>
        <v>#N/A</v>
      </c>
      <c r="C36" s="186" t="str">
        <f>'Shopping List'!B23</f>
        <v/>
      </c>
      <c r="D36" s="163">
        <f>F36/28.35</f>
        <v>0</v>
      </c>
      <c r="E36" s="187" t="s">
        <v>44</v>
      </c>
      <c r="F36" s="165">
        <f>SUM((19/1000)*$H$5)*2.24</f>
        <v>0</v>
      </c>
      <c r="G36" s="187" t="s">
        <v>45</v>
      </c>
      <c r="H36" s="167" t="str">
        <f>SUM(VLOOKUP(C36,'Data Sheet'!$A$8:$AB$155,5,FALSE)/(VLOOKUP(C36,'Data Sheet'!$A$8:$AB$155,6,FALSE)))*F36</f>
        <v>#N/A</v>
      </c>
      <c r="I36" s="188" t="str">
        <f>'Weekly Feeding Schedule'!$I$5</f>
        <v>KCAL</v>
      </c>
    </row>
    <row r="37" ht="18.75" customHeight="1">
      <c r="A37" s="189"/>
      <c r="B37" s="169" t="str">
        <f>(VLOOKUP(C37,'Data Sheet'!$A$8:$AB$43,2,FALSE))</f>
        <v>#N/A</v>
      </c>
      <c r="C37" s="190" t="str">
        <f>'Shopping List'!B11</f>
        <v/>
      </c>
      <c r="D37" s="171">
        <f>SUM(D30/2)</f>
        <v>0</v>
      </c>
      <c r="E37" s="191" t="s">
        <v>43</v>
      </c>
      <c r="F37" s="173">
        <f>SUM(D37*219)</f>
        <v>0</v>
      </c>
      <c r="G37" s="191" t="s">
        <v>45</v>
      </c>
      <c r="H37" s="175" t="str">
        <f>SUM(VLOOKUP(C37,'Data Sheet'!$A$8:$AB$155,5,FALSE)/(VLOOKUP(C37,'Data Sheet'!$A$8:$AB$155,6,FALSE)))*F37</f>
        <v>#N/A</v>
      </c>
      <c r="I37" s="176"/>
    </row>
    <row r="38" ht="18.75" customHeight="1">
      <c r="A38" s="192"/>
      <c r="B38" s="192"/>
      <c r="C38" s="192"/>
      <c r="D38" s="178">
        <f>SUM(F38/28.35)</f>
        <v>0</v>
      </c>
      <c r="E38" s="179" t="str">
        <f>E36</f>
        <v>OZ</v>
      </c>
      <c r="F38" s="180">
        <f>SUM(F36:F37)</f>
        <v>0</v>
      </c>
      <c r="G38" s="181" t="str">
        <f>G36</f>
        <v>G</v>
      </c>
      <c r="H38" s="182" t="str">
        <f>SUM(H36:H37)</f>
        <v>#N/A</v>
      </c>
      <c r="I38" s="183" t="str">
        <f>I36</f>
        <v>KCAL</v>
      </c>
    </row>
    <row r="39" ht="16.5" customHeight="1">
      <c r="A39" s="192"/>
      <c r="B39" s="192"/>
      <c r="C39" s="192"/>
      <c r="D39" s="178"/>
      <c r="E39" s="179"/>
      <c r="F39" s="180"/>
      <c r="G39" s="193"/>
      <c r="H39" s="194"/>
      <c r="I39" s="195"/>
    </row>
    <row r="40" ht="18.75" customHeight="1">
      <c r="A40" s="146" t="s">
        <v>50</v>
      </c>
      <c r="B40" s="21" t="s">
        <v>39</v>
      </c>
      <c r="C40" s="147"/>
      <c r="D40" s="148" t="s">
        <v>40</v>
      </c>
      <c r="E40" s="149"/>
      <c r="F40" s="149"/>
      <c r="G40" s="150"/>
      <c r="H40" s="151" t="s">
        <v>41</v>
      </c>
      <c r="I40" s="149"/>
    </row>
    <row r="41" ht="18.75" customHeight="1">
      <c r="A41" s="152"/>
      <c r="B41" s="153" t="s">
        <v>42</v>
      </c>
      <c r="C41" s="154" t="str">
        <f>'Shopping List'!$B$10</f>
        <v/>
      </c>
      <c r="D41" s="155">
        <f>F41</f>
        <v>0</v>
      </c>
      <c r="E41" s="156" t="s">
        <v>43</v>
      </c>
      <c r="F41" s="157">
        <f>SUM('Shopping List'!$P$4*$G$3)</f>
        <v>0</v>
      </c>
      <c r="G41" s="158" t="s">
        <v>43</v>
      </c>
      <c r="H41" s="159">
        <f>SUM($H$3)</f>
        <v>0</v>
      </c>
      <c r="I41" s="160" t="str">
        <f>'Weekly Feeding Schedule'!$I$5</f>
        <v>KCAL</v>
      </c>
    </row>
    <row r="42" ht="18.75" customHeight="1">
      <c r="A42" s="152"/>
      <c r="B42" s="161" t="str">
        <f>(VLOOKUP(C42,'Data Sheet'!$A$8:$AB$43,2,FALSE))</f>
        <v>#N/A</v>
      </c>
      <c r="C42" s="162" t="str">
        <f>'Shopping List'!B13</f>
        <v/>
      </c>
      <c r="D42" s="163" t="str">
        <f>F42/28.35</f>
        <v>#N/A</v>
      </c>
      <c r="E42" s="164" t="s">
        <v>44</v>
      </c>
      <c r="F42" s="165" t="str">
        <f>SUM(($H$4)*(VLOOKUP(C42,'Data Sheet'!$A$8:$AB$155,4,FALSE)))/((VLOOKUP(C42,'Data Sheet'!$A$8:$AB$155,5,FALSE)/VLOOKUP(C42,'Data Sheet'!$A$8:$AB$155,6,FALSE)))</f>
        <v>#N/A</v>
      </c>
      <c r="G42" s="166" t="s">
        <v>45</v>
      </c>
      <c r="H42" s="167" t="str">
        <f>SUM(VLOOKUP(C42,'Data Sheet'!$A$8:$AB$155,5,FALSE)/(VLOOKUP(C42,'Data Sheet'!$A$8:$AB$155,6,FALSE)))*F42</f>
        <v>#N/A</v>
      </c>
      <c r="I42" s="168" t="str">
        <f>'Weekly Feeding Schedule'!$I$5</f>
        <v>KCAL</v>
      </c>
    </row>
    <row r="43" ht="18.75" customHeight="1">
      <c r="A43" s="152"/>
      <c r="B43" s="169" t="str">
        <f>(VLOOKUP(C43,'Data Sheet'!$A$8:$AB$43,2,FALSE))</f>
        <v>#N/A</v>
      </c>
      <c r="C43" s="170" t="str">
        <f>'Shopping List'!B14</f>
        <v/>
      </c>
      <c r="D43" s="171" t="str">
        <f>F43/50</f>
        <v>#N/A</v>
      </c>
      <c r="E43" s="172" t="s">
        <v>46</v>
      </c>
      <c r="F43" s="173" t="str">
        <f>SUM(($H$4)*(VLOOKUP(C43,'Data Sheet'!$A$8:$AB$155,4,FALSE)))/((VLOOKUP(C43,'Data Sheet'!$A$8:$AB$155,5,FALSE)/VLOOKUP(C43,'Data Sheet'!$A$8:$AB$155,6,FALSE)))</f>
        <v>#N/A</v>
      </c>
      <c r="G43" s="174" t="s">
        <v>45</v>
      </c>
      <c r="H43" s="175" t="str">
        <f>SUM(VLOOKUP(C43,'Data Sheet'!$A$8:$AB$155,5,FALSE)/(VLOOKUP(C43,'Data Sheet'!$A$8:$AB$155,6,FALSE)))*F43</f>
        <v>#N/A</v>
      </c>
      <c r="I43" s="176"/>
    </row>
    <row r="44" ht="18.75" customHeight="1">
      <c r="A44" s="152"/>
      <c r="B44" s="20"/>
      <c r="C44" s="177"/>
      <c r="D44" s="178" t="str">
        <f>SUM(F44/28.35)</f>
        <v>#N/A</v>
      </c>
      <c r="E44" s="179" t="str">
        <f>E42</f>
        <v>OZ</v>
      </c>
      <c r="F44" s="180" t="str">
        <f>SUM(F42:F43)+(F41*('Data Sheet'!$B$4*'Data Sheet'!$B$5))</f>
        <v>#N/A</v>
      </c>
      <c r="G44" s="181" t="str">
        <f>G42</f>
        <v>G</v>
      </c>
      <c r="H44" s="182" t="str">
        <f>SUM(H41:H43)</f>
        <v>#N/A</v>
      </c>
      <c r="I44" s="183" t="str">
        <f>I41</f>
        <v>KCAL</v>
      </c>
    </row>
    <row r="45" ht="18.75" customHeight="1">
      <c r="A45" s="152"/>
      <c r="B45" s="184"/>
      <c r="C45" s="184"/>
      <c r="D45" s="184"/>
      <c r="E45" s="184"/>
      <c r="F45" s="184"/>
      <c r="G45" s="19"/>
      <c r="H45" s="184"/>
      <c r="I45" s="184"/>
    </row>
    <row r="46" ht="18.75" customHeight="1">
      <c r="A46" s="152"/>
      <c r="B46" s="185" t="s">
        <v>47</v>
      </c>
      <c r="C46" s="150"/>
      <c r="D46" s="148" t="s">
        <v>40</v>
      </c>
      <c r="E46" s="149"/>
      <c r="F46" s="149"/>
      <c r="G46" s="150"/>
      <c r="H46" s="151" t="s">
        <v>41</v>
      </c>
      <c r="I46" s="149"/>
    </row>
    <row r="47" ht="18.75" customHeight="1">
      <c r="A47" s="152"/>
      <c r="B47" s="161" t="str">
        <f>(VLOOKUP(C47,'Data Sheet'!$A$8:$AB$43,2,FALSE))</f>
        <v>#N/A</v>
      </c>
      <c r="C47" s="186" t="str">
        <f>'Shopping List'!B15</f>
        <v/>
      </c>
      <c r="D47" s="163">
        <f>F47/28.35</f>
        <v>0</v>
      </c>
      <c r="E47" s="187" t="s">
        <v>44</v>
      </c>
      <c r="F47" s="165">
        <f>SUM((19/1000)*$H$5)*2.24</f>
        <v>0</v>
      </c>
      <c r="G47" s="187" t="s">
        <v>45</v>
      </c>
      <c r="H47" s="167" t="str">
        <f>SUM(VLOOKUP(C47,'Data Sheet'!$A$8:$AB$155,5,FALSE)/(VLOOKUP(C47,'Data Sheet'!$A$8:$AB$155,6,FALSE)))*F47</f>
        <v>#N/A</v>
      </c>
      <c r="I47" s="188" t="str">
        <f>'Weekly Feeding Schedule'!$I$5</f>
        <v>KCAL</v>
      </c>
    </row>
    <row r="48" ht="18.75" customHeight="1">
      <c r="A48" s="189"/>
      <c r="B48" s="169" t="str">
        <f>(VLOOKUP(C48,'Data Sheet'!$A$8:$AB$43,2,FALSE))</f>
        <v>#N/A</v>
      </c>
      <c r="C48" s="190" t="str">
        <f>'Shopping List'!B11</f>
        <v/>
      </c>
      <c r="D48" s="171">
        <f>SUM(D41/2)</f>
        <v>0</v>
      </c>
      <c r="E48" s="191" t="s">
        <v>43</v>
      </c>
      <c r="F48" s="173">
        <f>SUM(D48*219)</f>
        <v>0</v>
      </c>
      <c r="G48" s="191" t="s">
        <v>45</v>
      </c>
      <c r="H48" s="175" t="str">
        <f>SUM(VLOOKUP(C48,'Data Sheet'!$A$8:$AB$155,5,FALSE)/(VLOOKUP(C48,'Data Sheet'!$A$8:$AB$155,6,FALSE)))*F48</f>
        <v>#N/A</v>
      </c>
      <c r="I48" s="176"/>
    </row>
    <row r="49" ht="18.75" customHeight="1">
      <c r="A49" s="192"/>
      <c r="B49" s="192"/>
      <c r="C49" s="192"/>
      <c r="D49" s="178">
        <f>SUM(F49/28.35)</f>
        <v>0</v>
      </c>
      <c r="E49" s="179" t="str">
        <f>E47</f>
        <v>OZ</v>
      </c>
      <c r="F49" s="180">
        <f>SUM(F47:F48)</f>
        <v>0</v>
      </c>
      <c r="G49" s="181" t="str">
        <f>G47</f>
        <v>G</v>
      </c>
      <c r="H49" s="182" t="str">
        <f>SUM(H47:H48)</f>
        <v>#N/A</v>
      </c>
      <c r="I49" s="183" t="str">
        <f>I47</f>
        <v>KCAL</v>
      </c>
    </row>
    <row r="50" ht="16.5" customHeight="1">
      <c r="A50" s="192"/>
      <c r="B50" s="192"/>
      <c r="C50" s="192"/>
      <c r="D50" s="178"/>
      <c r="E50" s="179"/>
      <c r="F50" s="180"/>
      <c r="G50" s="193"/>
      <c r="H50" s="194"/>
      <c r="I50" s="195"/>
    </row>
    <row r="51" ht="18.75" customHeight="1">
      <c r="A51" s="146" t="s">
        <v>51</v>
      </c>
      <c r="B51" s="21" t="s">
        <v>39</v>
      </c>
      <c r="C51" s="147"/>
      <c r="D51" s="148" t="s">
        <v>40</v>
      </c>
      <c r="E51" s="149"/>
      <c r="F51" s="149"/>
      <c r="G51" s="150"/>
      <c r="H51" s="151" t="s">
        <v>41</v>
      </c>
      <c r="I51" s="149"/>
    </row>
    <row r="52" ht="18.75" customHeight="1">
      <c r="A52" s="152"/>
      <c r="B52" s="153" t="s">
        <v>42</v>
      </c>
      <c r="C52" s="154" t="str">
        <f>'Shopping List'!$B$10</f>
        <v/>
      </c>
      <c r="D52" s="155">
        <f>F52</f>
        <v>0</v>
      </c>
      <c r="E52" s="156" t="s">
        <v>43</v>
      </c>
      <c r="F52" s="157">
        <f>SUM('Shopping List'!$P$4*$G$3)</f>
        <v>0</v>
      </c>
      <c r="G52" s="158" t="s">
        <v>43</v>
      </c>
      <c r="H52" s="159">
        <f>SUM($H$3)</f>
        <v>0</v>
      </c>
      <c r="I52" s="160" t="str">
        <f>'Weekly Feeding Schedule'!$I$5</f>
        <v>KCAL</v>
      </c>
    </row>
    <row r="53" ht="18.75" customHeight="1">
      <c r="A53" s="152"/>
      <c r="B53" s="161" t="str">
        <f>(VLOOKUP(C53,'Data Sheet'!$A$8:$AB$43,2,FALSE))</f>
        <v>#N/A</v>
      </c>
      <c r="C53" s="162" t="str">
        <f>'Shopping List'!B17</f>
        <v/>
      </c>
      <c r="D53" s="163" t="str">
        <f t="shared" ref="D53:D54" si="2">F53/28.35</f>
        <v>#N/A</v>
      </c>
      <c r="E53" s="164" t="s">
        <v>44</v>
      </c>
      <c r="F53" s="165" t="str">
        <f>SUM(($H$4)*(VLOOKUP(C53,'Data Sheet'!$A$8:$AB$155,4,FALSE)))/((VLOOKUP(C53,'Data Sheet'!$A$8:$AB$155,5,FALSE)/VLOOKUP(C53,'Data Sheet'!$A$8:$AB$155,6,FALSE)))</f>
        <v>#N/A</v>
      </c>
      <c r="G53" s="166" t="s">
        <v>45</v>
      </c>
      <c r="H53" s="167" t="str">
        <f>SUM(VLOOKUP(C53,'Data Sheet'!$A$8:$AB$155,5,FALSE)/(VLOOKUP(C53,'Data Sheet'!$A$8:$AB$155,6,FALSE)))*F53</f>
        <v>#N/A</v>
      </c>
      <c r="I53" s="168" t="str">
        <f>'Weekly Feeding Schedule'!$I$5</f>
        <v>KCAL</v>
      </c>
    </row>
    <row r="54" ht="18.75" customHeight="1">
      <c r="A54" s="152"/>
      <c r="B54" s="169" t="str">
        <f>(VLOOKUP(C54,'Data Sheet'!$A$8:$AB$43,2,FALSE))</f>
        <v>#N/A</v>
      </c>
      <c r="C54" s="170" t="str">
        <f>'Shopping List'!B18</f>
        <v/>
      </c>
      <c r="D54" s="171" t="str">
        <f t="shared" si="2"/>
        <v>#N/A</v>
      </c>
      <c r="E54" s="172" t="s">
        <v>44</v>
      </c>
      <c r="F54" s="173" t="str">
        <f>SUM(($H$4)*(VLOOKUP(C54,'Data Sheet'!$A$8:$AB$155,4,FALSE)))/((VLOOKUP(C54,'Data Sheet'!$A$8:$AB$155,5,FALSE)/VLOOKUP(C54,'Data Sheet'!$A$8:$AB$155,6,FALSE)))</f>
        <v>#N/A</v>
      </c>
      <c r="G54" s="174" t="s">
        <v>45</v>
      </c>
      <c r="H54" s="175" t="str">
        <f>SUM(VLOOKUP(C54,'Data Sheet'!$A$8:$AB$155,5,FALSE)/(VLOOKUP(C54,'Data Sheet'!$A$8:$AB$155,6,FALSE)))*F54</f>
        <v>#N/A</v>
      </c>
      <c r="I54" s="176"/>
    </row>
    <row r="55" ht="18.75" customHeight="1">
      <c r="A55" s="152"/>
      <c r="B55" s="20"/>
      <c r="C55" s="177"/>
      <c r="D55" s="178" t="str">
        <f>SUM(F55/28.35)</f>
        <v>#N/A</v>
      </c>
      <c r="E55" s="179" t="str">
        <f>E53</f>
        <v>OZ</v>
      </c>
      <c r="F55" s="180" t="str">
        <f>SUM(F53:F54)+(F52*('Data Sheet'!$B$4*'Data Sheet'!$B$5))</f>
        <v>#N/A</v>
      </c>
      <c r="G55" s="181" t="str">
        <f>G53</f>
        <v>G</v>
      </c>
      <c r="H55" s="182" t="str">
        <f>SUM(H52:H54)</f>
        <v>#N/A</v>
      </c>
      <c r="I55" s="183" t="str">
        <f>I52</f>
        <v>KCAL</v>
      </c>
    </row>
    <row r="56" ht="18.75" customHeight="1">
      <c r="A56" s="152"/>
      <c r="B56" s="184"/>
      <c r="C56" s="184"/>
      <c r="D56" s="184"/>
      <c r="E56" s="184"/>
      <c r="F56" s="184"/>
      <c r="G56" s="19"/>
      <c r="H56" s="184"/>
      <c r="I56" s="184"/>
    </row>
    <row r="57" ht="18.75" customHeight="1">
      <c r="A57" s="152"/>
      <c r="B57" s="185" t="s">
        <v>47</v>
      </c>
      <c r="C57" s="150"/>
      <c r="D57" s="148" t="s">
        <v>40</v>
      </c>
      <c r="E57" s="149"/>
      <c r="F57" s="149"/>
      <c r="G57" s="150"/>
      <c r="H57" s="151" t="s">
        <v>41</v>
      </c>
      <c r="I57" s="149"/>
    </row>
    <row r="58" ht="18.75" customHeight="1">
      <c r="A58" s="152"/>
      <c r="B58" s="161" t="str">
        <f>(VLOOKUP(C58,'Data Sheet'!$A$8:$AB$43,2,FALSE))</f>
        <v>#N/A</v>
      </c>
      <c r="C58" s="186" t="str">
        <f>'Shopping List'!B19</f>
        <v/>
      </c>
      <c r="D58" s="163">
        <f>F58/28.35</f>
        <v>0</v>
      </c>
      <c r="E58" s="187" t="s">
        <v>44</v>
      </c>
      <c r="F58" s="165">
        <f>SUM((19/1000)*$H$5)*2.24</f>
        <v>0</v>
      </c>
      <c r="G58" s="187" t="s">
        <v>45</v>
      </c>
      <c r="H58" s="167" t="str">
        <f>SUM(VLOOKUP(C58,'Data Sheet'!$A$8:$AB$155,5,FALSE)/(VLOOKUP(C58,'Data Sheet'!$A$8:$AB$155,6,FALSE)))*F58</f>
        <v>#N/A</v>
      </c>
      <c r="I58" s="188" t="str">
        <f>'Weekly Feeding Schedule'!$I$5</f>
        <v>KCAL</v>
      </c>
    </row>
    <row r="59" ht="18.75" customHeight="1">
      <c r="A59" s="189"/>
      <c r="B59" s="169" t="str">
        <f>(VLOOKUP(C59,'Data Sheet'!$A$8:$AB$43,2,FALSE))</f>
        <v>#N/A</v>
      </c>
      <c r="C59" s="190" t="str">
        <f>'Shopping List'!B11</f>
        <v/>
      </c>
      <c r="D59" s="171">
        <f>SUM(D52/2)</f>
        <v>0</v>
      </c>
      <c r="E59" s="191" t="s">
        <v>43</v>
      </c>
      <c r="F59" s="173">
        <f>SUM(D59*219)</f>
        <v>0</v>
      </c>
      <c r="G59" s="191" t="s">
        <v>45</v>
      </c>
      <c r="H59" s="175" t="str">
        <f>SUM(VLOOKUP(C59,'Data Sheet'!$A$8:$AB$155,5,FALSE)/(VLOOKUP(C59,'Data Sheet'!$A$8:$AB$155,6,FALSE)))*F59</f>
        <v>#N/A</v>
      </c>
      <c r="I59" s="176"/>
    </row>
    <row r="60" ht="18.75" customHeight="1">
      <c r="A60" s="192"/>
      <c r="B60" s="192"/>
      <c r="C60" s="192"/>
      <c r="D60" s="178">
        <f>SUM(F60/28.35)</f>
        <v>0</v>
      </c>
      <c r="E60" s="179" t="str">
        <f>E58</f>
        <v>OZ</v>
      </c>
      <c r="F60" s="180">
        <f>SUM(F58:F59)</f>
        <v>0</v>
      </c>
      <c r="G60" s="181" t="str">
        <f>G58</f>
        <v>G</v>
      </c>
      <c r="H60" s="182" t="str">
        <f>SUM(H58:H59)</f>
        <v>#N/A</v>
      </c>
      <c r="I60" s="183" t="str">
        <f>I58</f>
        <v>KCAL</v>
      </c>
    </row>
    <row r="61" ht="16.5" customHeight="1">
      <c r="A61" s="192"/>
      <c r="B61" s="192"/>
      <c r="C61" s="192"/>
      <c r="D61" s="178"/>
      <c r="E61" s="179"/>
      <c r="F61" s="180"/>
      <c r="G61" s="193"/>
      <c r="H61" s="194"/>
      <c r="I61" s="195"/>
    </row>
    <row r="62" ht="18.75" customHeight="1">
      <c r="A62" s="146" t="s">
        <v>52</v>
      </c>
      <c r="B62" s="21" t="s">
        <v>39</v>
      </c>
      <c r="C62" s="147"/>
      <c r="D62" s="148" t="s">
        <v>40</v>
      </c>
      <c r="E62" s="149"/>
      <c r="F62" s="149"/>
      <c r="G62" s="150"/>
      <c r="H62" s="151" t="s">
        <v>41</v>
      </c>
      <c r="I62" s="149"/>
    </row>
    <row r="63" ht="18.75" customHeight="1">
      <c r="A63" s="152"/>
      <c r="B63" s="153" t="s">
        <v>42</v>
      </c>
      <c r="C63" s="154" t="str">
        <f>'Shopping List'!$B$10</f>
        <v/>
      </c>
      <c r="D63" s="155">
        <f>F63</f>
        <v>0</v>
      </c>
      <c r="E63" s="156" t="s">
        <v>43</v>
      </c>
      <c r="F63" s="157">
        <f>SUM('Shopping List'!$P$4*$G$3)</f>
        <v>0</v>
      </c>
      <c r="G63" s="158" t="s">
        <v>43</v>
      </c>
      <c r="H63" s="159">
        <f>SUM($H$3)</f>
        <v>0</v>
      </c>
      <c r="I63" s="160" t="str">
        <f>'Weekly Feeding Schedule'!$I$5</f>
        <v>KCAL</v>
      </c>
    </row>
    <row r="64" ht="18.75" customHeight="1">
      <c r="A64" s="152"/>
      <c r="B64" s="161" t="str">
        <f>(VLOOKUP(C64,'Data Sheet'!$A$8:$AB$43,2,FALSE))</f>
        <v>#N/A</v>
      </c>
      <c r="C64" s="162" t="str">
        <f>'Shopping List'!B21</f>
        <v/>
      </c>
      <c r="D64" s="163" t="str">
        <f>F64/28.35</f>
        <v>#N/A</v>
      </c>
      <c r="E64" s="164" t="s">
        <v>44</v>
      </c>
      <c r="F64" s="165" t="str">
        <f>SUM(($H$4)*(VLOOKUP(C64,'Data Sheet'!$A$8:$AB$155,4,FALSE)))/((VLOOKUP(C64,'Data Sheet'!$A$8:$AB$155,5,FALSE)/VLOOKUP(C64,'Data Sheet'!$A$8:$AB$155,6,FALSE)))</f>
        <v>#N/A</v>
      </c>
      <c r="G64" s="166" t="s">
        <v>45</v>
      </c>
      <c r="H64" s="167" t="str">
        <f>SUM(VLOOKUP(C64,'Data Sheet'!$A$8:$AB$155,5,FALSE)/(VLOOKUP(C64,'Data Sheet'!$A$8:$AB$155,6,FALSE)))*F64</f>
        <v>#N/A</v>
      </c>
      <c r="I64" s="168" t="str">
        <f>'Weekly Feeding Schedule'!$I$5</f>
        <v>KCAL</v>
      </c>
    </row>
    <row r="65" ht="18.75" customHeight="1">
      <c r="A65" s="152"/>
      <c r="B65" s="169" t="str">
        <f>(VLOOKUP(C65,'Data Sheet'!$A$8:$AB$43,2,FALSE))</f>
        <v>#N/A</v>
      </c>
      <c r="C65" s="170" t="str">
        <f>'Shopping List'!B22</f>
        <v/>
      </c>
      <c r="D65" s="171" t="str">
        <f>F76/28.35</f>
        <v>#N/A</v>
      </c>
      <c r="E65" s="172" t="s">
        <v>44</v>
      </c>
      <c r="F65" s="173" t="str">
        <f>SUM(($H$4)*(VLOOKUP(C65,'Data Sheet'!$A$8:$AB$155,4,FALSE)))/((VLOOKUP(C65,'Data Sheet'!$A$8:$AB$155,5,FALSE)/VLOOKUP(C65,'Data Sheet'!$A$8:$AB$155,6,FALSE)))</f>
        <v>#N/A</v>
      </c>
      <c r="G65" s="174" t="s">
        <v>45</v>
      </c>
      <c r="H65" s="175" t="str">
        <f>SUM(VLOOKUP(C65,'Data Sheet'!$A$8:$AB$155,5,FALSE)/(VLOOKUP(C65,'Data Sheet'!$A$8:$AB$155,6,FALSE)))*F65</f>
        <v>#N/A</v>
      </c>
      <c r="I65" s="176"/>
    </row>
    <row r="66" ht="18.75" customHeight="1">
      <c r="A66" s="152"/>
      <c r="B66" s="20"/>
      <c r="C66" s="177"/>
      <c r="D66" s="178" t="str">
        <f>SUM(F66/28.35)</f>
        <v>#N/A</v>
      </c>
      <c r="E66" s="179" t="str">
        <f>E64</f>
        <v>OZ</v>
      </c>
      <c r="F66" s="180" t="str">
        <f>SUM(F64:F65)+(F63*('Data Sheet'!$B$4*'Data Sheet'!$B$5))</f>
        <v>#N/A</v>
      </c>
      <c r="G66" s="181" t="str">
        <f>G64</f>
        <v>G</v>
      </c>
      <c r="H66" s="182" t="str">
        <f>SUM(H63:H65)</f>
        <v>#N/A</v>
      </c>
      <c r="I66" s="183" t="str">
        <f>I63</f>
        <v>KCAL</v>
      </c>
    </row>
    <row r="67" ht="18.75" customHeight="1">
      <c r="A67" s="152"/>
      <c r="B67" s="184"/>
      <c r="C67" s="184"/>
      <c r="D67" s="184"/>
      <c r="E67" s="184"/>
      <c r="F67" s="184"/>
      <c r="G67" s="19"/>
      <c r="H67" s="184"/>
      <c r="I67" s="184"/>
    </row>
    <row r="68" ht="18.75" customHeight="1">
      <c r="A68" s="152"/>
      <c r="B68" s="185" t="s">
        <v>47</v>
      </c>
      <c r="C68" s="150"/>
      <c r="D68" s="148" t="s">
        <v>40</v>
      </c>
      <c r="E68" s="149"/>
      <c r="F68" s="149"/>
      <c r="G68" s="150"/>
      <c r="H68" s="151" t="s">
        <v>41</v>
      </c>
      <c r="I68" s="149"/>
    </row>
    <row r="69" ht="18.75" customHeight="1">
      <c r="A69" s="152"/>
      <c r="B69" s="161" t="str">
        <f>(VLOOKUP(C69,'Data Sheet'!$A$8:$AB$43,2,FALSE))</f>
        <v>#N/A</v>
      </c>
      <c r="C69" s="186" t="str">
        <f>'Shopping List'!B23</f>
        <v/>
      </c>
      <c r="D69" s="163">
        <f>F69/28.35</f>
        <v>0</v>
      </c>
      <c r="E69" s="187" t="s">
        <v>44</v>
      </c>
      <c r="F69" s="165">
        <f>SUM((19/1000)*$H$5)*2.24</f>
        <v>0</v>
      </c>
      <c r="G69" s="187" t="s">
        <v>45</v>
      </c>
      <c r="H69" s="167" t="str">
        <f>SUM(VLOOKUP(C69,'Data Sheet'!$A$8:$AB$155,5,FALSE)/(VLOOKUP(C69,'Data Sheet'!$A$8:$AB$155,6,FALSE)))*F69</f>
        <v>#N/A</v>
      </c>
      <c r="I69" s="188" t="str">
        <f>'Weekly Feeding Schedule'!$I$5</f>
        <v>KCAL</v>
      </c>
    </row>
    <row r="70" ht="18.75" customHeight="1">
      <c r="A70" s="189"/>
      <c r="B70" s="169" t="str">
        <f>(VLOOKUP(C70,'Data Sheet'!$A$8:$AB$43,2,FALSE))</f>
        <v>#N/A</v>
      </c>
      <c r="C70" s="190" t="str">
        <f>'Shopping List'!B11</f>
        <v/>
      </c>
      <c r="D70" s="171">
        <f>SUM(D63/2)</f>
        <v>0</v>
      </c>
      <c r="E70" s="191" t="s">
        <v>43</v>
      </c>
      <c r="F70" s="173">
        <f>SUM(D70*219)</f>
        <v>0</v>
      </c>
      <c r="G70" s="191" t="s">
        <v>45</v>
      </c>
      <c r="H70" s="175" t="str">
        <f>SUM(VLOOKUP(C70,'Data Sheet'!$A$8:$AB$155,5,FALSE)/(VLOOKUP(C70,'Data Sheet'!$A$8:$AB$155,6,FALSE)))*F70</f>
        <v>#N/A</v>
      </c>
      <c r="I70" s="176"/>
    </row>
    <row r="71" ht="18.75" customHeight="1">
      <c r="A71" s="192"/>
      <c r="B71" s="192"/>
      <c r="C71" s="192"/>
      <c r="D71" s="178">
        <f>SUM(F71/28.35)</f>
        <v>0</v>
      </c>
      <c r="E71" s="179" t="str">
        <f>E69</f>
        <v>OZ</v>
      </c>
      <c r="F71" s="180">
        <f>SUM(F69:F70)</f>
        <v>0</v>
      </c>
      <c r="G71" s="181" t="str">
        <f>G69</f>
        <v>G</v>
      </c>
      <c r="H71" s="182" t="str">
        <f>SUM(H69:H70)</f>
        <v>#N/A</v>
      </c>
      <c r="I71" s="183" t="str">
        <f>I69</f>
        <v>KCAL</v>
      </c>
    </row>
    <row r="72" ht="16.5" customHeight="1">
      <c r="A72" s="192"/>
      <c r="B72" s="192"/>
      <c r="C72" s="192"/>
      <c r="D72" s="178"/>
      <c r="E72" s="179"/>
      <c r="F72" s="180"/>
      <c r="G72" s="193"/>
      <c r="H72" s="194"/>
      <c r="I72" s="195"/>
    </row>
    <row r="73" ht="18.75" customHeight="1">
      <c r="A73" s="146" t="s">
        <v>30</v>
      </c>
      <c r="B73" s="21" t="s">
        <v>39</v>
      </c>
      <c r="C73" s="147"/>
      <c r="D73" s="148" t="s">
        <v>40</v>
      </c>
      <c r="E73" s="149"/>
      <c r="F73" s="149"/>
      <c r="G73" s="150"/>
      <c r="H73" s="151" t="s">
        <v>41</v>
      </c>
      <c r="I73" s="149"/>
    </row>
    <row r="74" ht="18.75" customHeight="1">
      <c r="A74" s="152"/>
      <c r="B74" s="153" t="s">
        <v>42</v>
      </c>
      <c r="C74" s="154" t="str">
        <f>'Shopping List'!$B$10</f>
        <v/>
      </c>
      <c r="D74" s="155">
        <f>F74</f>
        <v>0</v>
      </c>
      <c r="E74" s="156" t="s">
        <v>43</v>
      </c>
      <c r="F74" s="157">
        <f>SUM('Shopping List'!$P$4*$G$3)</f>
        <v>0</v>
      </c>
      <c r="G74" s="158" t="s">
        <v>43</v>
      </c>
      <c r="H74" s="159">
        <f>SUM($H$3)</f>
        <v>0</v>
      </c>
      <c r="I74" s="160" t="str">
        <f>'Weekly Feeding Schedule'!$I$5</f>
        <v>KCAL</v>
      </c>
    </row>
    <row r="75" ht="18.75" customHeight="1">
      <c r="A75" s="152"/>
      <c r="B75" s="161" t="str">
        <f>(VLOOKUP(C75,'Data Sheet'!$A$8:$AB$155,2,FALSE))</f>
        <v>#N/A</v>
      </c>
      <c r="C75" s="162" t="str">
        <f>IF( 'Shopping List'!B26="Boneless Meat",'Shopping List'!B13,'Shopping List'!B26)</f>
        <v/>
      </c>
      <c r="D75" s="163" t="str">
        <f t="shared" ref="D75:D76" si="3">F75/28.35</f>
        <v>#N/A</v>
      </c>
      <c r="E75" s="164" t="s">
        <v>44</v>
      </c>
      <c r="F75" s="165" t="str">
        <f>SUM(($H$4)*(VLOOKUP(C75,'Data Sheet'!$A$8:$AB$155,4,FALSE)))/((VLOOKUP(C75,'Data Sheet'!$A$8:$AB$155,5,FALSE)/VLOOKUP(C75,'Data Sheet'!$A$8:$AB$155,6,FALSE)))</f>
        <v>#N/A</v>
      </c>
      <c r="G75" s="166" t="s">
        <v>45</v>
      </c>
      <c r="H75" s="167" t="str">
        <f>SUM(VLOOKUP(C75,'Data Sheet'!$A$8:$AB$155,5,FALSE)/(VLOOKUP(C75,'Data Sheet'!$A$8:$AB$155,6,FALSE)))*F75</f>
        <v>#N/A</v>
      </c>
      <c r="I75" s="168" t="str">
        <f>'Weekly Feeding Schedule'!$I$5</f>
        <v>KCAL</v>
      </c>
    </row>
    <row r="76" ht="18.75" customHeight="1">
      <c r="A76" s="152"/>
      <c r="B76" s="169" t="str">
        <f>(VLOOKUP(C76,'Data Sheet'!$A$8:$AB$155,2,FALSE))</f>
        <v>#N/A</v>
      </c>
      <c r="C76" s="170" t="str">
        <f>'Shopping List'!B27</f>
        <v/>
      </c>
      <c r="D76" s="171" t="str">
        <f t="shared" si="3"/>
        <v>#N/A</v>
      </c>
      <c r="E76" s="172" t="s">
        <v>44</v>
      </c>
      <c r="F76" s="173" t="str">
        <f>SUM(($H$4)*(VLOOKUP(C76,'Data Sheet'!$A$8:$AB$155,4,FALSE)))/((VLOOKUP(C76,'Data Sheet'!$A$8:$AB$155,5,FALSE)/VLOOKUP(C76,'Data Sheet'!$A$8:$AB$155,6,FALSE)))</f>
        <v>#N/A</v>
      </c>
      <c r="G76" s="174" t="s">
        <v>45</v>
      </c>
      <c r="H76" s="175" t="str">
        <f>SUM(VLOOKUP(C76,'Data Sheet'!$A$8:$AB$155,5,FALSE)/(VLOOKUP(C76,'Data Sheet'!$A$8:$AB$155,6,FALSE)))*F76</f>
        <v>#N/A</v>
      </c>
      <c r="I76" s="176"/>
    </row>
    <row r="77" ht="18.75" customHeight="1">
      <c r="A77" s="152"/>
      <c r="B77" s="20"/>
      <c r="C77" s="177"/>
      <c r="D77" s="178" t="str">
        <f>SUM(F77/28.35)</f>
        <v>#N/A</v>
      </c>
      <c r="E77" s="179" t="str">
        <f>E75</f>
        <v>OZ</v>
      </c>
      <c r="F77" s="180" t="str">
        <f>SUM(F75:F76)+(F74*('Data Sheet'!$B$4*'Data Sheet'!$B$5))</f>
        <v>#N/A</v>
      </c>
      <c r="G77" s="181" t="str">
        <f>G75</f>
        <v>G</v>
      </c>
      <c r="H77" s="182" t="str">
        <f>SUM(H74:H76)</f>
        <v>#N/A</v>
      </c>
      <c r="I77" s="183" t="str">
        <f>I74</f>
        <v>KCAL</v>
      </c>
    </row>
    <row r="78" ht="18.75" customHeight="1">
      <c r="A78" s="152"/>
      <c r="B78" s="184"/>
      <c r="C78" s="184"/>
      <c r="D78" s="184"/>
      <c r="E78" s="184"/>
      <c r="F78" s="184"/>
      <c r="G78" s="19"/>
      <c r="H78" s="184"/>
      <c r="I78" s="184"/>
    </row>
    <row r="79" ht="18.75" customHeight="1">
      <c r="A79" s="152"/>
      <c r="B79" s="185" t="s">
        <v>47</v>
      </c>
      <c r="C79" s="150"/>
      <c r="D79" s="148" t="s">
        <v>40</v>
      </c>
      <c r="E79" s="149"/>
      <c r="F79" s="149"/>
      <c r="G79" s="150"/>
      <c r="H79" s="151" t="s">
        <v>41</v>
      </c>
      <c r="I79" s="149"/>
    </row>
    <row r="80" ht="18.75" customHeight="1">
      <c r="A80" s="152"/>
      <c r="B80" s="161" t="str">
        <f>(VLOOKUP(C80,'Data Sheet'!$A$8:$AB$155,2,FALSE))</f>
        <v>#N/A</v>
      </c>
      <c r="C80" s="186" t="str">
        <f>'Shopping List'!B28</f>
        <v/>
      </c>
      <c r="D80" s="163">
        <f>F80/28.35</f>
        <v>0</v>
      </c>
      <c r="E80" s="187" t="s">
        <v>44</v>
      </c>
      <c r="F80" s="165">
        <f>SUM((19/1000)*$H$5)</f>
        <v>0</v>
      </c>
      <c r="G80" s="187" t="s">
        <v>45</v>
      </c>
      <c r="H80" s="167" t="str">
        <f>SUM(VLOOKUP(C80,'Data Sheet'!$A$8:$AB$155,5,FALSE)/(VLOOKUP(C80,'Data Sheet'!$A$8:$AB$155,6,FALSE)))*F80</f>
        <v>#N/A</v>
      </c>
      <c r="I80" s="188" t="str">
        <f>'Weekly Feeding Schedule'!$I$5</f>
        <v>KCAL</v>
      </c>
    </row>
    <row r="81" ht="18.75" customHeight="1">
      <c r="A81" s="189"/>
      <c r="B81" s="169" t="str">
        <f>(VLOOKUP(C81,'Data Sheet'!$A$8:$AB$155,2,FALSE))</f>
        <v>#N/A</v>
      </c>
      <c r="C81" s="190" t="str">
        <f>'Shopping List'!B11</f>
        <v/>
      </c>
      <c r="D81" s="171">
        <f>SUM(D74/2)</f>
        <v>0</v>
      </c>
      <c r="E81" s="191" t="s">
        <v>43</v>
      </c>
      <c r="F81" s="173">
        <f>SUM(D81*219)</f>
        <v>0</v>
      </c>
      <c r="G81" s="191" t="s">
        <v>45</v>
      </c>
      <c r="H81" s="175" t="str">
        <f>SUM(VLOOKUP(C81,'Data Sheet'!$A$8:$AB$43,5,FALSE)/(VLOOKUP(C81,'Data Sheet'!$A$8:$AB$43,6,FALSE)))*F81</f>
        <v>#N/A</v>
      </c>
      <c r="I81" s="176"/>
    </row>
    <row r="82" ht="18.75" customHeight="1">
      <c r="A82" s="192"/>
      <c r="B82" s="192"/>
      <c r="C82" s="192"/>
      <c r="D82" s="178">
        <f>SUM(F82/28.35)</f>
        <v>0</v>
      </c>
      <c r="E82" s="179" t="str">
        <f>E80</f>
        <v>OZ</v>
      </c>
      <c r="F82" s="180">
        <f>SUM(F80:F81)</f>
        <v>0</v>
      </c>
      <c r="G82" s="181" t="str">
        <f>G80</f>
        <v>G</v>
      </c>
      <c r="H82" s="182" t="str">
        <f>SUM(H80:H81)</f>
        <v>#N/A</v>
      </c>
      <c r="I82" s="183" t="str">
        <f>I80</f>
        <v>KCAL</v>
      </c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H40:I40"/>
    <mergeCell ref="I42:I43"/>
    <mergeCell ref="H46:I46"/>
    <mergeCell ref="I47:I48"/>
    <mergeCell ref="H51:I51"/>
    <mergeCell ref="I53:I54"/>
    <mergeCell ref="H57:I57"/>
    <mergeCell ref="I58:I59"/>
    <mergeCell ref="B40:C40"/>
    <mergeCell ref="B46:C46"/>
    <mergeCell ref="D46:G46"/>
    <mergeCell ref="B51:C51"/>
    <mergeCell ref="D51:G51"/>
    <mergeCell ref="B57:C57"/>
    <mergeCell ref="D57:G57"/>
    <mergeCell ref="B68:C68"/>
    <mergeCell ref="B73:C73"/>
    <mergeCell ref="B62:C62"/>
    <mergeCell ref="D62:G62"/>
    <mergeCell ref="H62:I62"/>
    <mergeCell ref="I64:I65"/>
    <mergeCell ref="D68:G68"/>
    <mergeCell ref="H68:I68"/>
    <mergeCell ref="I69:I70"/>
    <mergeCell ref="D13:G13"/>
    <mergeCell ref="H13:I13"/>
    <mergeCell ref="A1:B5"/>
    <mergeCell ref="C1:I1"/>
    <mergeCell ref="C2:I2"/>
    <mergeCell ref="A7:A15"/>
    <mergeCell ref="D7:G7"/>
    <mergeCell ref="H7:I7"/>
    <mergeCell ref="I9:I10"/>
    <mergeCell ref="I14:I15"/>
    <mergeCell ref="D18:G18"/>
    <mergeCell ref="H18:I18"/>
    <mergeCell ref="I20:I21"/>
    <mergeCell ref="D24:G24"/>
    <mergeCell ref="H24:I24"/>
    <mergeCell ref="I25:I26"/>
    <mergeCell ref="A29:A37"/>
    <mergeCell ref="A40:A48"/>
    <mergeCell ref="A51:A59"/>
    <mergeCell ref="A62:A70"/>
    <mergeCell ref="A73:A81"/>
    <mergeCell ref="D29:G29"/>
    <mergeCell ref="H29:I29"/>
    <mergeCell ref="I31:I32"/>
    <mergeCell ref="D35:G35"/>
    <mergeCell ref="H35:I35"/>
    <mergeCell ref="I36:I37"/>
    <mergeCell ref="D40:G40"/>
    <mergeCell ref="B7:C7"/>
    <mergeCell ref="B13:C13"/>
    <mergeCell ref="A18:A26"/>
    <mergeCell ref="B18:C18"/>
    <mergeCell ref="B24:C24"/>
    <mergeCell ref="B29:C29"/>
    <mergeCell ref="B35:C35"/>
    <mergeCell ref="D73:G73"/>
    <mergeCell ref="H73:I73"/>
    <mergeCell ref="I75:I76"/>
    <mergeCell ref="B79:C79"/>
    <mergeCell ref="D79:G79"/>
    <mergeCell ref="H79:I79"/>
    <mergeCell ref="I80:I81"/>
  </mergeCells>
  <conditionalFormatting sqref="D11 D16 D22 D27 D33 D38 D44 D49 D55 D60 D66 D71 D77 D82">
    <cfRule type="expression" dxfId="0" priority="1">
      <formula>$I$6="oz"</formula>
    </cfRule>
  </conditionalFormatting>
  <conditionalFormatting sqref="E11 E16 E22 E27 E33 E38 E44 E49 E55 E60 E66 E71 E77 E82">
    <cfRule type="expression" dxfId="0" priority="2">
      <formula>$I$6="oz"</formula>
    </cfRule>
  </conditionalFormatting>
  <conditionalFormatting sqref="D8 D19 D30 D41 D52 D63 D74">
    <cfRule type="expression" dxfId="1" priority="3">
      <formula>$I$6="oz"</formula>
    </cfRule>
  </conditionalFormatting>
  <conditionalFormatting sqref="D9 D14:D15 D20 D25:D26 D31 D36:D37 D42 D47:D48 D53 D58:D59 D64 D69:D70 D75 D80:D81">
    <cfRule type="expression" dxfId="1" priority="4">
      <formula>$I$6="oz"</formula>
    </cfRule>
  </conditionalFormatting>
  <conditionalFormatting sqref="D10 D21 D32 D43 D54 D65 D76">
    <cfRule type="expression" dxfId="1" priority="5">
      <formula>$I$6="oz"</formula>
    </cfRule>
  </conditionalFormatting>
  <conditionalFormatting sqref="F11 F16 F22 F27 F33 F38 F44 F49 F55 F60 F66 F71 F77 F82">
    <cfRule type="expression" dxfId="0" priority="6">
      <formula>$I$6="g"</formula>
    </cfRule>
  </conditionalFormatting>
  <conditionalFormatting sqref="G11 G16 G22 G27 G33 G38 G44 G49 G55 G60 G66 G71 G77 G82">
    <cfRule type="expression" dxfId="0" priority="7">
      <formula>$I$6="g"</formula>
    </cfRule>
  </conditionalFormatting>
  <conditionalFormatting sqref="F8 F19 F30 F41 F52 F63 F74">
    <cfRule type="expression" dxfId="1" priority="8">
      <formula>$I$6="g"</formula>
    </cfRule>
  </conditionalFormatting>
  <conditionalFormatting sqref="F9:F10 F14:F15 F20:F21 F25:F26 F31:F32 F36:F37 F42:F43 F47:F48 F53:F54 F58:F59 F64:F65 F69:F70 F75:F76 F80:F81">
    <cfRule type="expression" dxfId="1" priority="9">
      <formula>$I$6="g"</formula>
    </cfRule>
  </conditionalFormatting>
  <conditionalFormatting sqref="F10 F14:F15 F21 F25:F26 F32 F36:F37 F43 F47:F48 F54 F58:F59 F65 F69:F70 F76 F80:F81">
    <cfRule type="expression" dxfId="1" priority="10">
      <formula>$I$6="g"</formula>
    </cfRule>
  </conditionalFormatting>
  <conditionalFormatting sqref="G8:G10 G14:G15 G19:G21 G25:G26 G30:G32 G36:G37 G41:G43 G47:G48 G52:G54 G58:G59 G63:G65 G69:G70 G74:G76 G80:G81">
    <cfRule type="expression" dxfId="1" priority="11">
      <formula>$I$6="g"</formula>
    </cfRule>
  </conditionalFormatting>
  <conditionalFormatting sqref="G9:G10 G20:G21 G31:G32 G42:G43 G53:G54 G64:G65 G75:G76">
    <cfRule type="expression" dxfId="1" priority="12">
      <formula>$I$6="g"</formula>
    </cfRule>
  </conditionalFormatting>
  <conditionalFormatting sqref="G10 G21 G32 G43 G54 G65 G76">
    <cfRule type="expression" dxfId="1" priority="13">
      <formula>$I$6="g"</formula>
    </cfRule>
  </conditionalFormatting>
  <conditionalFormatting sqref="E9 E14:E15 E20 E25:E26 E31 E36:E37 E42 E47:E48 E53 E58:E59 E64 E69:E70 E75 E80:E81">
    <cfRule type="expression" dxfId="1" priority="14">
      <formula>$I$6="oz"</formula>
    </cfRule>
  </conditionalFormatting>
  <conditionalFormatting sqref="E10 E21 E32 E43 E54 E65 E76">
    <cfRule type="expression" dxfId="1" priority="15">
      <formula>$I$6="oz"</formula>
    </cfRule>
  </conditionalFormatting>
  <conditionalFormatting sqref="E8 E19 E30 E41 E52 E63 E74">
    <cfRule type="expression" dxfId="1" priority="16">
      <formula>$I$6="oz"</formula>
    </cfRule>
  </conditionalFormatting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6.0"/>
    <col customWidth="1" min="2" max="2" width="6.43"/>
    <col customWidth="1" min="3" max="3" width="2.71"/>
    <col customWidth="1" min="4" max="4" width="7.29"/>
    <col customWidth="1" min="5" max="5" width="5.43"/>
    <col customWidth="1" min="6" max="6" width="7.29"/>
    <col customWidth="1" min="7" max="7" width="5.43"/>
    <col customWidth="1" min="8" max="8" width="7.29"/>
    <col customWidth="1" min="9" max="9" width="5.43"/>
    <col customWidth="1" min="10" max="10" width="7.29"/>
    <col customWidth="1" min="11" max="11" width="5.43"/>
    <col customWidth="1" min="12" max="12" width="7.29"/>
    <col customWidth="1" min="13" max="13" width="5.43"/>
    <col customWidth="1" min="14" max="14" width="7.29"/>
    <col customWidth="1" min="15" max="15" width="5.43"/>
    <col customWidth="1" min="16" max="16" width="7.29"/>
    <col customWidth="1" min="17" max="17" width="5.43"/>
    <col customWidth="1" min="18" max="18" width="7.29"/>
    <col customWidth="1" min="19" max="19" width="5.43"/>
    <col customWidth="1" min="20" max="23" width="13.14"/>
  </cols>
  <sheetData>
    <row r="1" ht="30.0" customHeight="1">
      <c r="A1" s="20"/>
      <c r="B1" s="196" t="str">
        <f>CONCATENATE(V2, " FRESH FOOD ANALYSIS FOR ", 'Weekly Feeding Schedule'!C1)</f>
        <v>AAFCO 2020 FRESH FOOD ANALYSIS FOR 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15.75" customHeight="1">
      <c r="B2" s="197" t="s">
        <v>53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98" t="s">
        <v>54</v>
      </c>
      <c r="W2" s="8"/>
    </row>
    <row r="3" ht="15.75" customHeight="1">
      <c r="B3" s="197" t="s">
        <v>55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>
        <v>7.0</v>
      </c>
      <c r="W3" s="136" t="s">
        <v>56</v>
      </c>
    </row>
    <row r="4" ht="15.75" customHeight="1">
      <c r="B4" s="199" t="s">
        <v>57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1">
        <f>'Weekly Feeding Schedule'!H4</f>
        <v>0</v>
      </c>
      <c r="W4" s="202" t="str">
        <f>'Weekly Feeding Schedule'!I4</f>
        <v>KCAL</v>
      </c>
    </row>
    <row r="5" ht="37.5" customHeight="1">
      <c r="A5" s="20"/>
      <c r="B5" s="20"/>
      <c r="C5" s="20"/>
      <c r="D5" s="203"/>
      <c r="E5" s="20"/>
      <c r="F5" s="203"/>
      <c r="G5" s="20"/>
      <c r="H5" s="203"/>
      <c r="I5" s="20"/>
      <c r="J5" s="203"/>
      <c r="K5" s="20"/>
      <c r="L5" s="203"/>
      <c r="M5" s="20"/>
      <c r="N5" s="203"/>
      <c r="O5" s="20"/>
      <c r="P5" s="203"/>
      <c r="Q5" s="20"/>
      <c r="R5" s="203"/>
      <c r="S5" s="20"/>
      <c r="T5" s="20"/>
      <c r="U5" s="20"/>
      <c r="V5" s="20"/>
      <c r="W5" s="20"/>
    </row>
    <row r="6" ht="15.75" customHeight="1">
      <c r="A6" s="204" t="s">
        <v>58</v>
      </c>
      <c r="B6" s="130"/>
      <c r="C6" s="205"/>
      <c r="D6" s="206" t="s">
        <v>59</v>
      </c>
      <c r="E6" s="205"/>
      <c r="F6" s="207" t="s">
        <v>60</v>
      </c>
      <c r="G6" s="205"/>
      <c r="H6" s="207" t="s">
        <v>61</v>
      </c>
      <c r="I6" s="205"/>
      <c r="J6" s="207" t="s">
        <v>62</v>
      </c>
      <c r="K6" s="205"/>
      <c r="L6" s="207" t="s">
        <v>63</v>
      </c>
      <c r="M6" s="205"/>
      <c r="N6" s="207" t="s">
        <v>64</v>
      </c>
      <c r="O6" s="205"/>
      <c r="P6" s="207" t="s">
        <v>65</v>
      </c>
      <c r="Q6" s="205"/>
      <c r="R6" s="208" t="s">
        <v>66</v>
      </c>
      <c r="S6" s="108"/>
      <c r="T6" s="209" t="str">
        <f>CONCATENATE(V2, " Adult Minimums")</f>
        <v>AAFCO 2020 Adult Minimums</v>
      </c>
      <c r="U6" s="210"/>
      <c r="V6" s="211" t="str">
        <f>CONCATENATE(V2, " Growth &amp; Reproduction Minimums")</f>
        <v>AAFCO 2020 Growth &amp; Reproduction Minimums</v>
      </c>
      <c r="W6" s="210"/>
    </row>
    <row r="7" ht="15.75" customHeight="1">
      <c r="A7" s="212" t="s">
        <v>67</v>
      </c>
      <c r="B7" s="212"/>
      <c r="C7" s="213">
        <f>'Data Sheet'!H6</f>
        <v>8</v>
      </c>
      <c r="D7" s="214" t="str">
        <f>SUM(('Weekly Feeding Schedule'!$F$9/100)*(VLOOKUP('Weekly Feeding Schedule'!$C$9,'Data Sheet'!$A$8:$AX$155,C7,FALSE)))+(('Weekly Feeding Schedule'!$F$10/100)*(VLOOKUP('Weekly Feeding Schedule'!$C$10,'Data Sheet'!$A$8:$AX$155,C7,FALSE)))+(('Weekly Feeding Schedule'!$F$14/100)*(VLOOKUP('Weekly Feeding Schedule'!$C$14,'Data Sheet'!$A$8:$AX$155,C7,FALSE)))+(('Weekly Feeding Schedule'!$F$15/100)*(VLOOKUP('Weekly Feeding Schedule'!$C$15,'Data Sheet'!$A$8:$AX$155,C7,FALSE)))</f>
        <v>#N/A</v>
      </c>
      <c r="E7" s="215" t="s">
        <v>68</v>
      </c>
      <c r="F7" s="214" t="str">
        <f>SUM(('Weekly Feeding Schedule'!$F$20/100)*(VLOOKUP('Weekly Feeding Schedule'!$C$20,'Data Sheet'!$A$8:$AX$155,C7,FALSE)))+(('Weekly Feeding Schedule'!$F$21/100)*(VLOOKUP('Weekly Feeding Schedule'!$C$21,'Data Sheet'!$A$8:$AX$155,C7,FALSE)))+(('Weekly Feeding Schedule'!$F$25/100)*(VLOOKUP('Weekly Feeding Schedule'!$C$25,'Data Sheet'!$A$8:$AX$155,C7,FALSE)))+(('Weekly Feeding Schedule'!$F$26/100)*(VLOOKUP('Weekly Feeding Schedule'!$C$26,'Data Sheet'!$A$8:$AX$155,C7,FALSE)))</f>
        <v>#N/A</v>
      </c>
      <c r="G7" s="215" t="str">
        <f t="shared" ref="G7:G21" si="1">E7</f>
        <v>g</v>
      </c>
      <c r="H7" s="214" t="str">
        <f>SUM(('Weekly Feeding Schedule'!$F$31/100)*(VLOOKUP('Weekly Feeding Schedule'!$C$31,'Data Sheet'!$A$8:$AX$155,C7,FALSE)))+(('Weekly Feeding Schedule'!$F$32/100)*(VLOOKUP('Weekly Feeding Schedule'!$C$32,'Data Sheet'!$A$8:$AX$155,C7,FALSE)))+(('Weekly Feeding Schedule'!$F$36/100)*(VLOOKUP('Weekly Feeding Schedule'!$C$36,'Data Sheet'!$A$8:$AX$155,C7,FALSE)))+(('Weekly Feeding Schedule'!$F$37/100)*(VLOOKUP('Weekly Feeding Schedule'!$C$37,'Data Sheet'!$A$8:$AX$155,C7,FALSE)))</f>
        <v>#N/A</v>
      </c>
      <c r="I7" s="215" t="str">
        <f t="shared" ref="I7:I21" si="2">E7</f>
        <v>g</v>
      </c>
      <c r="J7" s="214" t="str">
        <f>SUM(('Weekly Feeding Schedule'!$F$42/100)*(VLOOKUP('Weekly Feeding Schedule'!$C$42,'Data Sheet'!$A$8:$AX$155,C7,FALSE)))+(('Weekly Feeding Schedule'!$F$43/100)*(VLOOKUP('Weekly Feeding Schedule'!$C$43,'Data Sheet'!$A$8:$AX$155,C7,FALSE)))+(('Weekly Feeding Schedule'!$F$47/100)*(VLOOKUP('Weekly Feeding Schedule'!$C$47,'Data Sheet'!$A$8:$AX$155,C7,FALSE)))+(('Weekly Feeding Schedule'!$F$48/100)*(VLOOKUP('Weekly Feeding Schedule'!$C$48,'Data Sheet'!$A$8:$AX$155,C7,FALSE)))</f>
        <v>#N/A</v>
      </c>
      <c r="K7" s="215" t="str">
        <f t="shared" ref="K7:K21" si="3">E7</f>
        <v>g</v>
      </c>
      <c r="L7" s="214" t="str">
        <f>SUM(('Weekly Feeding Schedule'!$F$53/100)*(VLOOKUP('Weekly Feeding Schedule'!$C$53,'Data Sheet'!$A$8:$AX$155,C7,FALSE)))+(('Weekly Feeding Schedule'!$F$54/100)*(VLOOKUP('Weekly Feeding Schedule'!$C$54,'Data Sheet'!$A$8:$AX$155,C7,FALSE)))+(('Weekly Feeding Schedule'!$F$58/100)*(VLOOKUP('Weekly Feeding Schedule'!$C$58,'Data Sheet'!$A$8:$AX$155,C7,FALSE)))+(('Weekly Feeding Schedule'!$F$59/100)*(VLOOKUP('Weekly Feeding Schedule'!$C$59,'Data Sheet'!$A$8:$AX$155,C7,FALSE)))</f>
        <v>#N/A</v>
      </c>
      <c r="M7" s="215" t="str">
        <f t="shared" ref="M7:M21" si="4">E7</f>
        <v>g</v>
      </c>
      <c r="N7" s="214" t="str">
        <f>SUM(('Weekly Feeding Schedule'!$F$64/100)*(VLOOKUP('Weekly Feeding Schedule'!$C$64,'Data Sheet'!$A$8:$AX$155,C7,FALSE)))+(('Weekly Feeding Schedule'!$F$65/100)*(VLOOKUP('Weekly Feeding Schedule'!$C$65,'Data Sheet'!$A$8:$AX$155,C7,FALSE)))+(('Weekly Feeding Schedule'!$F$69/100)*(VLOOKUP('Weekly Feeding Schedule'!$C$69,'Data Sheet'!$A$8:$AX$155,C7,FALSE)))+(('Weekly Feeding Schedule'!$F$70/100)*(VLOOKUP('Weekly Feeding Schedule'!$C$70,'Data Sheet'!$A$8:$AX$155,C7,FALSE)))</f>
        <v>#N/A</v>
      </c>
      <c r="O7" s="215" t="str">
        <f t="shared" ref="O7:O21" si="5">E7</f>
        <v>g</v>
      </c>
      <c r="P7" s="214" t="str">
        <f>SUM(('Weekly Feeding Schedule'!$F$75/100)*(VLOOKUP('Weekly Feeding Schedule'!$C$75,'Data Sheet'!$A$8:$AX$155,C7,FALSE)))+(('Weekly Feeding Schedule'!$F$76/100)*(VLOOKUP('Weekly Feeding Schedule'!$C$76,'Data Sheet'!$A$8:$AX$155,C7,FALSE)))+(('Weekly Feeding Schedule'!$F$80/100)*(VLOOKUP('Weekly Feeding Schedule'!$C$80,'Data Sheet'!$A$8:$AX$155,C7,FALSE)))+(('Weekly Feeding Schedule'!$F$81/100)*(VLOOKUP('Weekly Feeding Schedule'!$C$81,'Data Sheet'!$A$8:$AX$155,C7,FALSE)))</f>
        <v>#N/A</v>
      </c>
      <c r="Q7" s="216" t="str">
        <f t="shared" ref="Q7:Q21" si="6">E7</f>
        <v>g</v>
      </c>
      <c r="R7" s="217" t="str">
        <f t="shared" ref="R7:R21" si="7">SUM(D7+F7+H7+J7+L7+N7+P7)/7</f>
        <v>#N/A</v>
      </c>
      <c r="S7" s="218" t="str">
        <f t="shared" ref="S7:S21" si="8">E7</f>
        <v>g</v>
      </c>
      <c r="T7" s="219">
        <f>SUM((45/1000)*V4)</f>
        <v>0</v>
      </c>
      <c r="U7" s="220" t="str">
        <f t="shared" ref="U7:U21" si="9">E7</f>
        <v>g</v>
      </c>
      <c r="V7" s="221">
        <f>SUM((56.3/1000)*V4)</f>
        <v>0</v>
      </c>
      <c r="W7" s="219" t="str">
        <f t="shared" ref="W7:W21" si="10">U7</f>
        <v>g</v>
      </c>
    </row>
    <row r="8" ht="15.75" customHeight="1">
      <c r="A8" s="222" t="s">
        <v>69</v>
      </c>
      <c r="B8" s="222"/>
      <c r="C8" s="223">
        <f>'Data Sheet'!L$6</f>
        <v>12</v>
      </c>
      <c r="D8" s="224" t="str">
        <f>SUM(('Weekly Feeding Schedule'!$F$9/100)*(VLOOKUP('Weekly Feeding Schedule'!$C$9,'Data Sheet'!$A$8:$AX$155,C8,FALSE)))+(('Weekly Feeding Schedule'!$F$10/100)*(VLOOKUP('Weekly Feeding Schedule'!$C$10,'Data Sheet'!$A$8:$AX$155,C8,FALSE)))+(('Weekly Feeding Schedule'!$F$14/100)*(VLOOKUP('Weekly Feeding Schedule'!$C$14,'Data Sheet'!$A$8:$AX$155,C8,FALSE)))+(('Weekly Feeding Schedule'!$F$15/100)*(VLOOKUP('Weekly Feeding Schedule'!$C$15,'Data Sheet'!$A$8:$AX$155,C8,FALSE)))</f>
        <v>#N/A</v>
      </c>
      <c r="E8" s="225" t="s">
        <v>68</v>
      </c>
      <c r="F8" s="224" t="str">
        <f>SUM(('Weekly Feeding Schedule'!$F$20/100)*(VLOOKUP('Weekly Feeding Schedule'!$C$20,'Data Sheet'!$A$8:$AX$155,C8,FALSE)))+(('Weekly Feeding Schedule'!$F$21/100)*(VLOOKUP('Weekly Feeding Schedule'!$C$21,'Data Sheet'!$A$8:$AX$155,C8,FALSE)))+(('Weekly Feeding Schedule'!$F$25/100)*(VLOOKUP('Weekly Feeding Schedule'!$C$25,'Data Sheet'!$A$8:$AX$155,C8,FALSE)))+(('Weekly Feeding Schedule'!$F$26/100)*(VLOOKUP('Weekly Feeding Schedule'!$C$26,'Data Sheet'!$A$8:$AX$155,C8,FALSE)))</f>
        <v>#N/A</v>
      </c>
      <c r="G8" s="225" t="str">
        <f t="shared" si="1"/>
        <v>g</v>
      </c>
      <c r="H8" s="224" t="str">
        <f>SUM(('Weekly Feeding Schedule'!$F$31/100)*(VLOOKUP('Weekly Feeding Schedule'!$C$31,'Data Sheet'!$A$8:$AX$155,C8,FALSE)))+(('Weekly Feeding Schedule'!$F$32/100)*(VLOOKUP('Weekly Feeding Schedule'!$C$32,'Data Sheet'!$A$8:$AX$155,C8,FALSE)))+(('Weekly Feeding Schedule'!$F$36/100)*(VLOOKUP('Weekly Feeding Schedule'!$C$36,'Data Sheet'!$A$8:$AX$155,C8,FALSE)))+(('Weekly Feeding Schedule'!$F$37/100)*(VLOOKUP('Weekly Feeding Schedule'!$C$37,'Data Sheet'!$A$8:$AX$155,C8,FALSE)))</f>
        <v>#N/A</v>
      </c>
      <c r="I8" s="225" t="str">
        <f t="shared" si="2"/>
        <v>g</v>
      </c>
      <c r="J8" s="224" t="str">
        <f>SUM(('Weekly Feeding Schedule'!$F$42/100)*(VLOOKUP('Weekly Feeding Schedule'!$C$42,'Data Sheet'!$A$8:$AX$155,C8,FALSE)))+(('Weekly Feeding Schedule'!$F$43/100)*(VLOOKUP('Weekly Feeding Schedule'!$C$43,'Data Sheet'!$A$8:$AX$155,C8,FALSE)))+(('Weekly Feeding Schedule'!$F$47/100)*(VLOOKUP('Weekly Feeding Schedule'!$C$47,'Data Sheet'!$A$8:$AX$155,C8,FALSE)))+(('Weekly Feeding Schedule'!$F$48/100)*(VLOOKUP('Weekly Feeding Schedule'!$C$48,'Data Sheet'!$A$8:$AX$155,C8,FALSE)))</f>
        <v>#N/A</v>
      </c>
      <c r="K8" s="225" t="str">
        <f t="shared" si="3"/>
        <v>g</v>
      </c>
      <c r="L8" s="224" t="str">
        <f>SUM(('Weekly Feeding Schedule'!$F$53/100)*(VLOOKUP('Weekly Feeding Schedule'!$C$53,'Data Sheet'!$A$8:$AX$155,C8,FALSE)))+(('Weekly Feeding Schedule'!$F$54/100)*(VLOOKUP('Weekly Feeding Schedule'!$C$54,'Data Sheet'!$A$8:$AX$155,C8,FALSE)))+(('Weekly Feeding Schedule'!$F$58/100)*(VLOOKUP('Weekly Feeding Schedule'!$C$58,'Data Sheet'!$A$8:$AX$155,C8,FALSE)))+(('Weekly Feeding Schedule'!$F$59/100)*(VLOOKUP('Weekly Feeding Schedule'!$C$59,'Data Sheet'!$A$8:$AX$155,C8,FALSE)))</f>
        <v>#N/A</v>
      </c>
      <c r="M8" s="225" t="str">
        <f t="shared" si="4"/>
        <v>g</v>
      </c>
      <c r="N8" s="224" t="str">
        <f>SUM(('Weekly Feeding Schedule'!$F$64/100)*(VLOOKUP('Weekly Feeding Schedule'!$C$64,'Data Sheet'!$A$8:$AX$155,C8,FALSE)))+(('Weekly Feeding Schedule'!$F$65/100)*(VLOOKUP('Weekly Feeding Schedule'!$C$65,'Data Sheet'!$A$8:$AX$155,C8,FALSE)))+(('Weekly Feeding Schedule'!$F$69/100)*(VLOOKUP('Weekly Feeding Schedule'!$C$69,'Data Sheet'!$A$8:$AX$155,C8,FALSE)))+(('Weekly Feeding Schedule'!$F$70/100)*(VLOOKUP('Weekly Feeding Schedule'!$C$70,'Data Sheet'!$A$8:$AX$155,C8,FALSE)))</f>
        <v>#N/A</v>
      </c>
      <c r="O8" s="225" t="str">
        <f t="shared" si="5"/>
        <v>g</v>
      </c>
      <c r="P8" s="224" t="str">
        <f>SUM(('Weekly Feeding Schedule'!$F$75/100)*(VLOOKUP('Weekly Feeding Schedule'!$C$75,'Data Sheet'!$A$8:$AX$155,C8,FALSE)))+(('Weekly Feeding Schedule'!$F$76/100)*(VLOOKUP('Weekly Feeding Schedule'!$C$76,'Data Sheet'!$A$8:$AX$155,C8,FALSE)))+(('Weekly Feeding Schedule'!$F$80/100)*(VLOOKUP('Weekly Feeding Schedule'!$C$80,'Data Sheet'!$A$8:$AX$155,C8,FALSE)))+(('Weekly Feeding Schedule'!$F$81/100)*(VLOOKUP('Weekly Feeding Schedule'!$C$81,'Data Sheet'!$A$8:$AX$155,C8,FALSE)))</f>
        <v>#N/A</v>
      </c>
      <c r="Q8" s="226" t="str">
        <f t="shared" si="6"/>
        <v>g</v>
      </c>
      <c r="R8" s="227" t="str">
        <f t="shared" si="7"/>
        <v>#N/A</v>
      </c>
      <c r="S8" s="228" t="str">
        <f t="shared" si="8"/>
        <v>g</v>
      </c>
      <c r="T8" s="229">
        <f>SUM((1.28/1000)*V4)</f>
        <v>0</v>
      </c>
      <c r="U8" s="230" t="str">
        <f t="shared" si="9"/>
        <v>g</v>
      </c>
      <c r="V8" s="231">
        <f>SUM((2.5/1000)*V4)</f>
        <v>0</v>
      </c>
      <c r="W8" s="229" t="str">
        <f t="shared" si="10"/>
        <v>g</v>
      </c>
    </row>
    <row r="9" ht="15.75" customHeight="1">
      <c r="A9" s="232" t="s">
        <v>70</v>
      </c>
      <c r="B9" s="232"/>
      <c r="C9" s="233">
        <f>'Data Sheet'!M6</f>
        <v>13</v>
      </c>
      <c r="D9" s="214" t="str">
        <f>SUM(('Weekly Feeding Schedule'!$F$9/100)*(VLOOKUP('Weekly Feeding Schedule'!$C$9,'Data Sheet'!$A$8:$AX$155,C9,FALSE)))+(('Weekly Feeding Schedule'!$F$10/100)*(VLOOKUP('Weekly Feeding Schedule'!$C$10,'Data Sheet'!$A$8:$AX$155,C9,FALSE)))+(('Weekly Feeding Schedule'!$F$14/100)*(VLOOKUP('Weekly Feeding Schedule'!$C$14,'Data Sheet'!$A$8:$AX$155,C9,FALSE)))+(('Weekly Feeding Schedule'!$F$15/100)*(VLOOKUP('Weekly Feeding Schedule'!$C$15,'Data Sheet'!$A$8:$AX$155,C9,FALSE)))</f>
        <v>#N/A</v>
      </c>
      <c r="E9" s="215" t="s">
        <v>68</v>
      </c>
      <c r="F9" s="214" t="str">
        <f>SUM(('Weekly Feeding Schedule'!$F$20/100)*(VLOOKUP('Weekly Feeding Schedule'!$C$20,'Data Sheet'!$A$8:$AX$155,C9,FALSE)))+(('Weekly Feeding Schedule'!$F$21/100)*(VLOOKUP('Weekly Feeding Schedule'!$C$21,'Data Sheet'!$A$8:$AX$155,C9,FALSE)))+(('Weekly Feeding Schedule'!$F$25/100)*(VLOOKUP('Weekly Feeding Schedule'!$C$25,'Data Sheet'!$A$8:$AX$155,C9,FALSE)))+(('Weekly Feeding Schedule'!$F$26/100)*(VLOOKUP('Weekly Feeding Schedule'!$C$26,'Data Sheet'!$A$8:$AX$155,C9,FALSE)))</f>
        <v>#N/A</v>
      </c>
      <c r="G9" s="215" t="str">
        <f t="shared" si="1"/>
        <v>g</v>
      </c>
      <c r="H9" s="214" t="str">
        <f>SUM(('Weekly Feeding Schedule'!$F$31/100)*(VLOOKUP('Weekly Feeding Schedule'!$C$31,'Data Sheet'!$A$8:$AX$155,C9,FALSE)))+(('Weekly Feeding Schedule'!$F$32/100)*(VLOOKUP('Weekly Feeding Schedule'!$C$32,'Data Sheet'!$A$8:$AX$155,C9,FALSE)))+(('Weekly Feeding Schedule'!$F$36/100)*(VLOOKUP('Weekly Feeding Schedule'!$C$36,'Data Sheet'!$A$8:$AX$155,C9,FALSE)))+(('Weekly Feeding Schedule'!$F$37/100)*(VLOOKUP('Weekly Feeding Schedule'!$C$37,'Data Sheet'!$A$8:$AX$155,C9,FALSE)))</f>
        <v>#N/A</v>
      </c>
      <c r="I9" s="215" t="str">
        <f t="shared" si="2"/>
        <v>g</v>
      </c>
      <c r="J9" s="214" t="str">
        <f>SUM(('Weekly Feeding Schedule'!$F$42/100)*(VLOOKUP('Weekly Feeding Schedule'!$C$42,'Data Sheet'!$A$8:$AX$155,C9,FALSE)))+(('Weekly Feeding Schedule'!$F$43/100)*(VLOOKUP('Weekly Feeding Schedule'!$C$43,'Data Sheet'!$A$8:$AX$155,C9,FALSE)))+(('Weekly Feeding Schedule'!$F$47/100)*(VLOOKUP('Weekly Feeding Schedule'!$C$47,'Data Sheet'!$A$8:$AX$155,C9,FALSE)))+(('Weekly Feeding Schedule'!$F$48/100)*(VLOOKUP('Weekly Feeding Schedule'!$C$48,'Data Sheet'!$A$8:$AX$155,C9,FALSE)))</f>
        <v>#N/A</v>
      </c>
      <c r="K9" s="215" t="str">
        <f t="shared" si="3"/>
        <v>g</v>
      </c>
      <c r="L9" s="214" t="str">
        <f>SUM(('Weekly Feeding Schedule'!$F$53/100)*(VLOOKUP('Weekly Feeding Schedule'!$C$53,'Data Sheet'!$A$8:$AX$155,C9,FALSE)))+(('Weekly Feeding Schedule'!$F$54/100)*(VLOOKUP('Weekly Feeding Schedule'!$C$54,'Data Sheet'!$A$8:$AX$155,C9,FALSE)))+(('Weekly Feeding Schedule'!$F$58/100)*(VLOOKUP('Weekly Feeding Schedule'!$C$58,'Data Sheet'!$A$8:$AX$155,C9,FALSE)))+(('Weekly Feeding Schedule'!$F$59/100)*(VLOOKUP('Weekly Feeding Schedule'!$C$59,'Data Sheet'!$A$8:$AX$155,C9,FALSE)))</f>
        <v>#N/A</v>
      </c>
      <c r="M9" s="215" t="str">
        <f t="shared" si="4"/>
        <v>g</v>
      </c>
      <c r="N9" s="214" t="str">
        <f>SUM(('Weekly Feeding Schedule'!$F$64/100)*(VLOOKUP('Weekly Feeding Schedule'!$C$64,'Data Sheet'!$A$8:$AX$155,C9,FALSE)))+(('Weekly Feeding Schedule'!$F$65/100)*(VLOOKUP('Weekly Feeding Schedule'!$C$65,'Data Sheet'!$A$8:$AX$155,C9,FALSE)))+(('Weekly Feeding Schedule'!$F$69/100)*(VLOOKUP('Weekly Feeding Schedule'!$C$69,'Data Sheet'!$A$8:$AX$155,C9,FALSE)))+(('Weekly Feeding Schedule'!$F$70/100)*(VLOOKUP('Weekly Feeding Schedule'!$C$70,'Data Sheet'!$A$8:$AX$155,C9,FALSE)))</f>
        <v>#N/A</v>
      </c>
      <c r="O9" s="215" t="str">
        <f t="shared" si="5"/>
        <v>g</v>
      </c>
      <c r="P9" s="214" t="str">
        <f>SUM(('Weekly Feeding Schedule'!$F$75/100)*(VLOOKUP('Weekly Feeding Schedule'!$C$75,'Data Sheet'!$A$8:$AX$155,C9,FALSE)))+(('Weekly Feeding Schedule'!$F$76/100)*(VLOOKUP('Weekly Feeding Schedule'!$C$76,'Data Sheet'!$A$8:$AX$155,C9,FALSE)))+(('Weekly Feeding Schedule'!$F$80/100)*(VLOOKUP('Weekly Feeding Schedule'!$C$80,'Data Sheet'!$A$8:$AX$155,C9,FALSE)))+(('Weekly Feeding Schedule'!$F$81/100)*(VLOOKUP('Weekly Feeding Schedule'!$C$81,'Data Sheet'!$A$8:$AX$155,C9,FALSE)))</f>
        <v>#N/A</v>
      </c>
      <c r="Q9" s="216" t="str">
        <f t="shared" si="6"/>
        <v>g</v>
      </c>
      <c r="R9" s="217" t="str">
        <f t="shared" si="7"/>
        <v>#N/A</v>
      </c>
      <c r="S9" s="218" t="str">
        <f t="shared" si="8"/>
        <v>g</v>
      </c>
      <c r="T9" s="234">
        <f>SUM((0.48/1000)*V4)</f>
        <v>0</v>
      </c>
      <c r="U9" s="235" t="str">
        <f t="shared" si="9"/>
        <v>g</v>
      </c>
      <c r="V9" s="236">
        <f>SUM((1.1/1000)*V4)</f>
        <v>0</v>
      </c>
      <c r="W9" s="234" t="str">
        <f t="shared" si="10"/>
        <v>g</v>
      </c>
    </row>
    <row r="10" ht="15.75" customHeight="1">
      <c r="A10" s="222" t="s">
        <v>71</v>
      </c>
      <c r="B10" s="222"/>
      <c r="C10" s="223">
        <f>'Data Sheet'!N6</f>
        <v>14</v>
      </c>
      <c r="D10" s="224" t="str">
        <f>SUM(('Weekly Feeding Schedule'!$F$9/100)*(VLOOKUP('Weekly Feeding Schedule'!$C$9,'Data Sheet'!$A$8:$AX$155,C10,FALSE)))+(('Weekly Feeding Schedule'!$F$10/100)*(VLOOKUP('Weekly Feeding Schedule'!$C$10,'Data Sheet'!$A$8:$AX$155,C10,FALSE)))+(('Weekly Feeding Schedule'!$F$14/100)*(VLOOKUP('Weekly Feeding Schedule'!$C$14,'Data Sheet'!$A$8:$AX$155,C10,FALSE)))+(('Weekly Feeding Schedule'!$F$15/100)*(VLOOKUP('Weekly Feeding Schedule'!$C$15,'Data Sheet'!$A$8:$AX$155,C10,FALSE)))</f>
        <v>#N/A</v>
      </c>
      <c r="E10" s="225" t="s">
        <v>68</v>
      </c>
      <c r="F10" s="224" t="str">
        <f>SUM(('Weekly Feeding Schedule'!$F$20/100)*(VLOOKUP('Weekly Feeding Schedule'!$C$20,'Data Sheet'!$A$8:$AX$155,C10,FALSE)))+(('Weekly Feeding Schedule'!$F$21/100)*(VLOOKUP('Weekly Feeding Schedule'!$C$21,'Data Sheet'!$A$8:$AX$155,C10,FALSE)))+(('Weekly Feeding Schedule'!$F$25/100)*(VLOOKUP('Weekly Feeding Schedule'!$C$25,'Data Sheet'!$A$8:$AX$155,C10,FALSE)))+(('Weekly Feeding Schedule'!$F$26/100)*(VLOOKUP('Weekly Feeding Schedule'!$C$26,'Data Sheet'!$A$8:$AX$155,C10,FALSE)))</f>
        <v>#N/A</v>
      </c>
      <c r="G10" s="225" t="str">
        <f t="shared" si="1"/>
        <v>g</v>
      </c>
      <c r="H10" s="224" t="str">
        <f>SUM(('Weekly Feeding Schedule'!$F$31/100)*(VLOOKUP('Weekly Feeding Schedule'!$C$31,'Data Sheet'!$A$8:$AX$155,C10,FALSE)))+(('Weekly Feeding Schedule'!$F$32/100)*(VLOOKUP('Weekly Feeding Schedule'!$C$32,'Data Sheet'!$A$8:$AX$155,C10,FALSE)))+(('Weekly Feeding Schedule'!$F$36/100)*(VLOOKUP('Weekly Feeding Schedule'!$C$36,'Data Sheet'!$A$8:$AX$155,C10,FALSE)))+(('Weekly Feeding Schedule'!$F$37/100)*(VLOOKUP('Weekly Feeding Schedule'!$C$37,'Data Sheet'!$A$8:$AX$155,C10,FALSE)))</f>
        <v>#N/A</v>
      </c>
      <c r="I10" s="225" t="str">
        <f t="shared" si="2"/>
        <v>g</v>
      </c>
      <c r="J10" s="224" t="str">
        <f>SUM(('Weekly Feeding Schedule'!$F$42/100)*(VLOOKUP('Weekly Feeding Schedule'!$C$42,'Data Sheet'!$A$8:$AX$155,C10,FALSE)))+(('Weekly Feeding Schedule'!$F$43/100)*(VLOOKUP('Weekly Feeding Schedule'!$C$43,'Data Sheet'!$A$8:$AX$155,C10,FALSE)))+(('Weekly Feeding Schedule'!$F$47/100)*(VLOOKUP('Weekly Feeding Schedule'!$C$47,'Data Sheet'!$A$8:$AX$155,C10,FALSE)))+(('Weekly Feeding Schedule'!$F$48/100)*(VLOOKUP('Weekly Feeding Schedule'!$C$48,'Data Sheet'!$A$8:$AX$155,C10,FALSE)))</f>
        <v>#N/A</v>
      </c>
      <c r="K10" s="225" t="str">
        <f t="shared" si="3"/>
        <v>g</v>
      </c>
      <c r="L10" s="224" t="str">
        <f>SUM(('Weekly Feeding Schedule'!$F$53/100)*(VLOOKUP('Weekly Feeding Schedule'!$C$53,'Data Sheet'!$A$8:$AX$155,C10,FALSE)))+(('Weekly Feeding Schedule'!$F$54/100)*(VLOOKUP('Weekly Feeding Schedule'!$C$54,'Data Sheet'!$A$8:$AX$155,C10,FALSE)))+(('Weekly Feeding Schedule'!$F$58/100)*(VLOOKUP('Weekly Feeding Schedule'!$C$58,'Data Sheet'!$A$8:$AX$155,C10,FALSE)))+(('Weekly Feeding Schedule'!$F$59/100)*(VLOOKUP('Weekly Feeding Schedule'!$C$59,'Data Sheet'!$A$8:$AX$155,C10,FALSE)))</f>
        <v>#N/A</v>
      </c>
      <c r="M10" s="225" t="str">
        <f t="shared" si="4"/>
        <v>g</v>
      </c>
      <c r="N10" s="224" t="str">
        <f>SUM(('Weekly Feeding Schedule'!$F$64/100)*(VLOOKUP('Weekly Feeding Schedule'!$C$64,'Data Sheet'!$A$8:$AX$155,C10,FALSE)))+(('Weekly Feeding Schedule'!$F$65/100)*(VLOOKUP('Weekly Feeding Schedule'!$C$65,'Data Sheet'!$A$8:$AX$155,C10,FALSE)))+(('Weekly Feeding Schedule'!$F$69/100)*(VLOOKUP('Weekly Feeding Schedule'!$C$69,'Data Sheet'!$A$8:$AX$155,C10,FALSE)))+(('Weekly Feeding Schedule'!$F$70/100)*(VLOOKUP('Weekly Feeding Schedule'!$C$70,'Data Sheet'!$A$8:$AX$155,C10,FALSE)))</f>
        <v>#N/A</v>
      </c>
      <c r="O10" s="225" t="str">
        <f t="shared" si="5"/>
        <v>g</v>
      </c>
      <c r="P10" s="224" t="str">
        <f>SUM(('Weekly Feeding Schedule'!$F$75/100)*(VLOOKUP('Weekly Feeding Schedule'!$C$75,'Data Sheet'!$A$8:$AX$155,C10,FALSE)))+(('Weekly Feeding Schedule'!$F$76/100)*(VLOOKUP('Weekly Feeding Schedule'!$C$76,'Data Sheet'!$A$8:$AX$155,C10,FALSE)))+(('Weekly Feeding Schedule'!$F$80/100)*(VLOOKUP('Weekly Feeding Schedule'!$C$80,'Data Sheet'!$A$8:$AX$155,C10,FALSE)))+(('Weekly Feeding Schedule'!$F$81/100)*(VLOOKUP('Weekly Feeding Schedule'!$C$81,'Data Sheet'!$A$8:$AX$155,C10,FALSE)))</f>
        <v>#N/A</v>
      </c>
      <c r="Q10" s="226" t="str">
        <f t="shared" si="6"/>
        <v>g</v>
      </c>
      <c r="R10" s="227" t="str">
        <f t="shared" si="7"/>
        <v>#N/A</v>
      </c>
      <c r="S10" s="228" t="str">
        <f t="shared" si="8"/>
        <v>g</v>
      </c>
      <c r="T10" s="229">
        <f>SUM((0.95/1000)*V4)</f>
        <v>0</v>
      </c>
      <c r="U10" s="230" t="str">
        <f t="shared" si="9"/>
        <v>g</v>
      </c>
      <c r="V10" s="231">
        <f>SUM((1.78/1000)*V4)</f>
        <v>0</v>
      </c>
      <c r="W10" s="229" t="str">
        <f t="shared" si="10"/>
        <v>g</v>
      </c>
    </row>
    <row r="11" ht="15.75" customHeight="1">
      <c r="A11" s="232" t="s">
        <v>72</v>
      </c>
      <c r="B11" s="232"/>
      <c r="C11" s="233">
        <f>'Data Sheet'!O6</f>
        <v>15</v>
      </c>
      <c r="D11" s="214" t="str">
        <f>SUM(('Weekly Feeding Schedule'!$F$9/100)*(VLOOKUP('Weekly Feeding Schedule'!$C$9,'Data Sheet'!$A$8:$AX$155,C11,FALSE)))+(('Weekly Feeding Schedule'!$F$10/100)*(VLOOKUP('Weekly Feeding Schedule'!$C$10,'Data Sheet'!$A$8:$AX$155,C11,FALSE)))+(('Weekly Feeding Schedule'!$F$14/100)*(VLOOKUP('Weekly Feeding Schedule'!$C$14,'Data Sheet'!$A$8:$AX$155,C11,FALSE)))+(('Weekly Feeding Schedule'!$F$15/100)*(VLOOKUP('Weekly Feeding Schedule'!$C$15,'Data Sheet'!$A$8:$AX$155,C11,FALSE)))</f>
        <v>#N/A</v>
      </c>
      <c r="E11" s="215" t="s">
        <v>68</v>
      </c>
      <c r="F11" s="214" t="str">
        <f>SUM(('Weekly Feeding Schedule'!$F$20/100)*(VLOOKUP('Weekly Feeding Schedule'!$C$20,'Data Sheet'!$A$8:$AX$155,C11,FALSE)))+(('Weekly Feeding Schedule'!$F$21/100)*(VLOOKUP('Weekly Feeding Schedule'!$C$21,'Data Sheet'!$A$8:$AX$155,C11,FALSE)))+(('Weekly Feeding Schedule'!$F$25/100)*(VLOOKUP('Weekly Feeding Schedule'!$C$25,'Data Sheet'!$A$8:$AX$155,C11,FALSE)))+(('Weekly Feeding Schedule'!$F$26/100)*(VLOOKUP('Weekly Feeding Schedule'!$C$26,'Data Sheet'!$A$8:$AX$155,C11,FALSE)))</f>
        <v>#N/A</v>
      </c>
      <c r="G11" s="215" t="str">
        <f t="shared" si="1"/>
        <v>g</v>
      </c>
      <c r="H11" s="214" t="str">
        <f>SUM(('Weekly Feeding Schedule'!$F$31/100)*(VLOOKUP('Weekly Feeding Schedule'!$C$31,'Data Sheet'!$A$8:$AX$155,C11,FALSE)))+(('Weekly Feeding Schedule'!$F$32/100)*(VLOOKUP('Weekly Feeding Schedule'!$C$32,'Data Sheet'!$A$8:$AX$155,C11,FALSE)))+(('Weekly Feeding Schedule'!$F$36/100)*(VLOOKUP('Weekly Feeding Schedule'!$C$36,'Data Sheet'!$A$8:$AX$155,C11,FALSE)))+(('Weekly Feeding Schedule'!$F$37/100)*(VLOOKUP('Weekly Feeding Schedule'!$C$37,'Data Sheet'!$A$8:$AX$155,C11,FALSE)))</f>
        <v>#N/A</v>
      </c>
      <c r="I11" s="215" t="str">
        <f t="shared" si="2"/>
        <v>g</v>
      </c>
      <c r="J11" s="214" t="str">
        <f>SUM(('Weekly Feeding Schedule'!$F$42/100)*(VLOOKUP('Weekly Feeding Schedule'!$C$42,'Data Sheet'!$A$8:$AX$155,C11,FALSE)))+(('Weekly Feeding Schedule'!$F$43/100)*(VLOOKUP('Weekly Feeding Schedule'!$C$43,'Data Sheet'!$A$8:$AX$155,C11,FALSE)))+(('Weekly Feeding Schedule'!$F$47/100)*(VLOOKUP('Weekly Feeding Schedule'!$C$47,'Data Sheet'!$A$8:$AX$155,C11,FALSE)))+(('Weekly Feeding Schedule'!$F$48/100)*(VLOOKUP('Weekly Feeding Schedule'!$C$48,'Data Sheet'!$A$8:$AX$155,C11,FALSE)))</f>
        <v>#N/A</v>
      </c>
      <c r="K11" s="215" t="str">
        <f t="shared" si="3"/>
        <v>g</v>
      </c>
      <c r="L11" s="214" t="str">
        <f>SUM(('Weekly Feeding Schedule'!$F$53/100)*(VLOOKUP('Weekly Feeding Schedule'!$C$53,'Data Sheet'!$A$8:$AX$155,C11,FALSE)))+(('Weekly Feeding Schedule'!$F$54/100)*(VLOOKUP('Weekly Feeding Schedule'!$C$54,'Data Sheet'!$A$8:$AX$155,C11,FALSE)))+(('Weekly Feeding Schedule'!$F$58/100)*(VLOOKUP('Weekly Feeding Schedule'!$C$58,'Data Sheet'!$A$8:$AX$155,C11,FALSE)))+(('Weekly Feeding Schedule'!$F$59/100)*(VLOOKUP('Weekly Feeding Schedule'!$C$59,'Data Sheet'!$A$8:$AX$155,C11,FALSE)))</f>
        <v>#N/A</v>
      </c>
      <c r="M11" s="215" t="str">
        <f t="shared" si="4"/>
        <v>g</v>
      </c>
      <c r="N11" s="214" t="str">
        <f>SUM(('Weekly Feeding Schedule'!$F$64/100)*(VLOOKUP('Weekly Feeding Schedule'!$C$64,'Data Sheet'!$A$8:$AX$155,C11,FALSE)))+(('Weekly Feeding Schedule'!$F$65/100)*(VLOOKUP('Weekly Feeding Schedule'!$C$65,'Data Sheet'!$A$8:$AX$155,C11,FALSE)))+(('Weekly Feeding Schedule'!$F$69/100)*(VLOOKUP('Weekly Feeding Schedule'!$C$69,'Data Sheet'!$A$8:$AX$155,C11,FALSE)))+(('Weekly Feeding Schedule'!$F$70/100)*(VLOOKUP('Weekly Feeding Schedule'!$C$70,'Data Sheet'!$A$8:$AX$155,C11,FALSE)))</f>
        <v>#N/A</v>
      </c>
      <c r="O11" s="215" t="str">
        <f t="shared" si="5"/>
        <v>g</v>
      </c>
      <c r="P11" s="214" t="str">
        <f>SUM(('Weekly Feeding Schedule'!$F$75/100)*(VLOOKUP('Weekly Feeding Schedule'!$C$75,'Data Sheet'!$A$8:$AX$155,C11,FALSE)))+(('Weekly Feeding Schedule'!$F$76/100)*(VLOOKUP('Weekly Feeding Schedule'!$C$76,'Data Sheet'!$A$8:$AX$155,C11,FALSE)))+(('Weekly Feeding Schedule'!$F$80/100)*(VLOOKUP('Weekly Feeding Schedule'!$C$80,'Data Sheet'!$A$8:$AX$155,C11,FALSE)))+(('Weekly Feeding Schedule'!$F$81/100)*(VLOOKUP('Weekly Feeding Schedule'!$C$81,'Data Sheet'!$A$8:$AX$155,C11,FALSE)))</f>
        <v>#N/A</v>
      </c>
      <c r="Q11" s="216" t="str">
        <f t="shared" si="6"/>
        <v>g</v>
      </c>
      <c r="R11" s="217" t="str">
        <f t="shared" si="7"/>
        <v>#N/A</v>
      </c>
      <c r="S11" s="218" t="str">
        <f t="shared" si="8"/>
        <v>g</v>
      </c>
      <c r="T11" s="234">
        <f>SUM((0.83/1000)*V4)</f>
        <v>0</v>
      </c>
      <c r="U11" s="235" t="str">
        <f t="shared" si="9"/>
        <v>g</v>
      </c>
      <c r="V11" s="236">
        <f>SUM((0.88/1000)*V4)</f>
        <v>0</v>
      </c>
      <c r="W11" s="234" t="str">
        <f t="shared" si="10"/>
        <v>g</v>
      </c>
    </row>
    <row r="12" ht="15.75" customHeight="1">
      <c r="A12" s="222" t="s">
        <v>73</v>
      </c>
      <c r="B12" s="222"/>
      <c r="C12" s="223">
        <f>'Data Sheet'!P6</f>
        <v>16</v>
      </c>
      <c r="D12" s="224" t="str">
        <f>SUM(('Weekly Feeding Schedule'!$F$9/100)*(VLOOKUP('Weekly Feeding Schedule'!$C$9,'Data Sheet'!$A$8:$AX$155,C12,FALSE)))+(('Weekly Feeding Schedule'!$F$10/100)*(VLOOKUP('Weekly Feeding Schedule'!$C$10,'Data Sheet'!$A$8:$AX$155,C12,FALSE)))+(('Weekly Feeding Schedule'!$F$14/100)*(VLOOKUP('Weekly Feeding Schedule'!$C$14,'Data Sheet'!$A$8:$AX$155,C12,FALSE)))+(('Weekly Feeding Schedule'!$F$15/100)*(VLOOKUP('Weekly Feeding Schedule'!$C$15,'Data Sheet'!$A$8:$AX$155,C12,FALSE)))</f>
        <v>#N/A</v>
      </c>
      <c r="E12" s="225" t="s">
        <v>68</v>
      </c>
      <c r="F12" s="224" t="str">
        <f>SUM(('Weekly Feeding Schedule'!$F$20/100)*(VLOOKUP('Weekly Feeding Schedule'!$C$20,'Data Sheet'!$A$8:$AX$155,C12,FALSE)))+(('Weekly Feeding Schedule'!$F$21/100)*(VLOOKUP('Weekly Feeding Schedule'!$C$21,'Data Sheet'!$A$8:$AX$155,C12,FALSE)))+(('Weekly Feeding Schedule'!$F$25/100)*(VLOOKUP('Weekly Feeding Schedule'!$C$25,'Data Sheet'!$A$8:$AX$155,C12,FALSE)))+(('Weekly Feeding Schedule'!$F$26/100)*(VLOOKUP('Weekly Feeding Schedule'!$C$26,'Data Sheet'!$A$8:$AX$155,C12,FALSE)))</f>
        <v>#N/A</v>
      </c>
      <c r="G12" s="225" t="str">
        <f t="shared" si="1"/>
        <v>g</v>
      </c>
      <c r="H12" s="224" t="str">
        <f>SUM(('Weekly Feeding Schedule'!$F$31/100)*(VLOOKUP('Weekly Feeding Schedule'!$C$31,'Data Sheet'!$A$8:$AX$155,C12,FALSE)))+(('Weekly Feeding Schedule'!$F$32/100)*(VLOOKUP('Weekly Feeding Schedule'!$C$32,'Data Sheet'!$A$8:$AX$155,C12,FALSE)))+(('Weekly Feeding Schedule'!$F$36/100)*(VLOOKUP('Weekly Feeding Schedule'!$C$36,'Data Sheet'!$A$8:$AX$155,C12,FALSE)))+(('Weekly Feeding Schedule'!$F$37/100)*(VLOOKUP('Weekly Feeding Schedule'!$C$37,'Data Sheet'!$A$8:$AX$155,C12,FALSE)))</f>
        <v>#N/A</v>
      </c>
      <c r="I12" s="225" t="str">
        <f t="shared" si="2"/>
        <v>g</v>
      </c>
      <c r="J12" s="224" t="str">
        <f>SUM(('Weekly Feeding Schedule'!$F$42/100)*(VLOOKUP('Weekly Feeding Schedule'!$C$42,'Data Sheet'!$A$8:$AX$155,C12,FALSE)))+(('Weekly Feeding Schedule'!$F$43/100)*(VLOOKUP('Weekly Feeding Schedule'!$C$43,'Data Sheet'!$A$8:$AX$155,C12,FALSE)))+(('Weekly Feeding Schedule'!$F$47/100)*(VLOOKUP('Weekly Feeding Schedule'!$C$47,'Data Sheet'!$A$8:$AX$155,C12,FALSE)))+(('Weekly Feeding Schedule'!$F$48/100)*(VLOOKUP('Weekly Feeding Schedule'!$C$48,'Data Sheet'!$A$8:$AX$155,C12,FALSE)))</f>
        <v>#N/A</v>
      </c>
      <c r="K12" s="225" t="str">
        <f t="shared" si="3"/>
        <v>g</v>
      </c>
      <c r="L12" s="224" t="str">
        <f>SUM(('Weekly Feeding Schedule'!$F$53/100)*(VLOOKUP('Weekly Feeding Schedule'!$C$53,'Data Sheet'!$A$8:$AX$155,C12,FALSE)))+(('Weekly Feeding Schedule'!$F$54/100)*(VLOOKUP('Weekly Feeding Schedule'!$C$54,'Data Sheet'!$A$8:$AX$155,C12,FALSE)))+(('Weekly Feeding Schedule'!$F$58/100)*(VLOOKUP('Weekly Feeding Schedule'!$C$58,'Data Sheet'!$A$8:$AX$155,C12,FALSE)))+(('Weekly Feeding Schedule'!$F$59/100)*(VLOOKUP('Weekly Feeding Schedule'!$C$59,'Data Sheet'!$A$8:$AX$155,C12,FALSE)))</f>
        <v>#N/A</v>
      </c>
      <c r="M12" s="225" t="str">
        <f t="shared" si="4"/>
        <v>g</v>
      </c>
      <c r="N12" s="224" t="str">
        <f>SUM(('Weekly Feeding Schedule'!$F$64/100)*(VLOOKUP('Weekly Feeding Schedule'!$C$64,'Data Sheet'!$A$8:$AX$155,C12,FALSE)))+(('Weekly Feeding Schedule'!$F$65/100)*(VLOOKUP('Weekly Feeding Schedule'!$C$65,'Data Sheet'!$A$8:$AX$155,C12,FALSE)))+(('Weekly Feeding Schedule'!$F$69/100)*(VLOOKUP('Weekly Feeding Schedule'!$C$69,'Data Sheet'!$A$8:$AX$155,C12,FALSE)))+(('Weekly Feeding Schedule'!$F$70/100)*(VLOOKUP('Weekly Feeding Schedule'!$C$70,'Data Sheet'!$A$8:$AX$155,C12,FALSE)))</f>
        <v>#N/A</v>
      </c>
      <c r="O12" s="225" t="str">
        <f t="shared" si="5"/>
        <v>g</v>
      </c>
      <c r="P12" s="224" t="str">
        <f>SUM(('Weekly Feeding Schedule'!$F$75/100)*(VLOOKUP('Weekly Feeding Schedule'!$C$75,'Data Sheet'!$A$8:$AX$155,C12,FALSE)))+(('Weekly Feeding Schedule'!$F$76/100)*(VLOOKUP('Weekly Feeding Schedule'!$C$76,'Data Sheet'!$A$8:$AX$155,C12,FALSE)))+(('Weekly Feeding Schedule'!$F$80/100)*(VLOOKUP('Weekly Feeding Schedule'!$C$80,'Data Sheet'!$A$8:$AX$155,C12,FALSE)))+(('Weekly Feeding Schedule'!$F$81/100)*(VLOOKUP('Weekly Feeding Schedule'!$C$81,'Data Sheet'!$A$8:$AX$155,C12,FALSE)))</f>
        <v>#N/A</v>
      </c>
      <c r="Q12" s="226" t="str">
        <f t="shared" si="6"/>
        <v>g</v>
      </c>
      <c r="R12" s="227" t="str">
        <f t="shared" si="7"/>
        <v>#N/A</v>
      </c>
      <c r="S12" s="228" t="str">
        <f t="shared" si="8"/>
        <v>g</v>
      </c>
      <c r="T12" s="237">
        <v>0.0</v>
      </c>
      <c r="U12" s="230" t="str">
        <f t="shared" si="9"/>
        <v>g</v>
      </c>
      <c r="V12" s="238">
        <v>0.0</v>
      </c>
      <c r="W12" s="229" t="str">
        <f t="shared" si="10"/>
        <v>g</v>
      </c>
    </row>
    <row r="13" ht="15.75" customHeight="1">
      <c r="A13" s="232" t="str">
        <f>CONCATENATE(A11, " &amp; ", A12)</f>
        <v>Methionine &amp; Cystine</v>
      </c>
      <c r="B13" s="232"/>
      <c r="C13" s="239"/>
      <c r="D13" s="214" t="str">
        <f>SUM(D11+D12)</f>
        <v>#N/A</v>
      </c>
      <c r="E13" s="215" t="s">
        <v>68</v>
      </c>
      <c r="F13" s="214" t="str">
        <f>SUM(F11+F12)</f>
        <v>#N/A</v>
      </c>
      <c r="G13" s="215" t="str">
        <f t="shared" si="1"/>
        <v>g</v>
      </c>
      <c r="H13" s="214" t="str">
        <f>SUM(H11+H12)</f>
        <v>#N/A</v>
      </c>
      <c r="I13" s="215" t="str">
        <f t="shared" si="2"/>
        <v>g</v>
      </c>
      <c r="J13" s="214" t="str">
        <f>SUM(J11+J12)</f>
        <v>#N/A</v>
      </c>
      <c r="K13" s="215" t="str">
        <f t="shared" si="3"/>
        <v>g</v>
      </c>
      <c r="L13" s="214" t="str">
        <f>SUM(L11+L12)</f>
        <v>#N/A</v>
      </c>
      <c r="M13" s="215" t="str">
        <f t="shared" si="4"/>
        <v>g</v>
      </c>
      <c r="N13" s="214" t="str">
        <f>SUM(N11+N12)</f>
        <v>#N/A</v>
      </c>
      <c r="O13" s="215" t="str">
        <f t="shared" si="5"/>
        <v>g</v>
      </c>
      <c r="P13" s="214" t="str">
        <f>SUM(P11+P12)</f>
        <v>#N/A</v>
      </c>
      <c r="Q13" s="216" t="str">
        <f t="shared" si="6"/>
        <v>g</v>
      </c>
      <c r="R13" s="217" t="str">
        <f t="shared" si="7"/>
        <v>#N/A</v>
      </c>
      <c r="S13" s="218" t="str">
        <f t="shared" si="8"/>
        <v>g</v>
      </c>
      <c r="T13" s="234">
        <f>SUM((1.63/1000)*V4)</f>
        <v>0</v>
      </c>
      <c r="U13" s="235" t="str">
        <f t="shared" si="9"/>
        <v>g</v>
      </c>
      <c r="V13" s="236">
        <f>SUM((1.75/1000)*V4)</f>
        <v>0</v>
      </c>
      <c r="W13" s="234" t="str">
        <f t="shared" si="10"/>
        <v>g</v>
      </c>
    </row>
    <row r="14" ht="15.75" customHeight="1">
      <c r="A14" s="222" t="s">
        <v>74</v>
      </c>
      <c r="B14" s="222"/>
      <c r="C14" s="223">
        <f>'Data Sheet'!Q6</f>
        <v>17</v>
      </c>
      <c r="D14" s="224" t="str">
        <f>SUM(('Weekly Feeding Schedule'!$F$9/100)*(VLOOKUP('Weekly Feeding Schedule'!$C$9,'Data Sheet'!$A$8:$AX$155,C14,FALSE)))+(('Weekly Feeding Schedule'!$F$10/100)*(VLOOKUP('Weekly Feeding Schedule'!$C$10,'Data Sheet'!$A$8:$AX$155,C14,FALSE)))+(('Weekly Feeding Schedule'!$F$14/100)*(VLOOKUP('Weekly Feeding Schedule'!$C$14,'Data Sheet'!$A$8:$AX$155,C14,FALSE)))+(('Weekly Feeding Schedule'!$F$15/100)*(VLOOKUP('Weekly Feeding Schedule'!$C$15,'Data Sheet'!$A$8:$AX$155,C14,FALSE)))</f>
        <v>#N/A</v>
      </c>
      <c r="E14" s="225" t="s">
        <v>68</v>
      </c>
      <c r="F14" s="224" t="str">
        <f>SUM(('Weekly Feeding Schedule'!$F$20/100)*(VLOOKUP('Weekly Feeding Schedule'!$C$20,'Data Sheet'!$A$8:$AX$155,C14,FALSE)))+(('Weekly Feeding Schedule'!$F$21/100)*(VLOOKUP('Weekly Feeding Schedule'!$C$21,'Data Sheet'!$A$8:$AX$155,C14,FALSE)))+(('Weekly Feeding Schedule'!$F$25/100)*(VLOOKUP('Weekly Feeding Schedule'!$C$25,'Data Sheet'!$A$8:$AX$155,C14,FALSE)))+(('Weekly Feeding Schedule'!$F$26/100)*(VLOOKUP('Weekly Feeding Schedule'!$C$26,'Data Sheet'!$A$8:$AX$155,C14,FALSE)))</f>
        <v>#N/A</v>
      </c>
      <c r="G14" s="225" t="str">
        <f t="shared" si="1"/>
        <v>g</v>
      </c>
      <c r="H14" s="224" t="str">
        <f>SUM(('Weekly Feeding Schedule'!$F$31/100)*(VLOOKUP('Weekly Feeding Schedule'!$C$31,'Data Sheet'!$A$8:$AX$155,C14,FALSE)))+(('Weekly Feeding Schedule'!$F$32/100)*(VLOOKUP('Weekly Feeding Schedule'!$C$32,'Data Sheet'!$A$8:$AX$155,C14,FALSE)))+(('Weekly Feeding Schedule'!$F$36/100)*(VLOOKUP('Weekly Feeding Schedule'!$C$36,'Data Sheet'!$A$8:$AX$155,C14,FALSE)))+(('Weekly Feeding Schedule'!$F$37/100)*(VLOOKUP('Weekly Feeding Schedule'!$C$37,'Data Sheet'!$A$8:$AX$155,C14,FALSE)))</f>
        <v>#N/A</v>
      </c>
      <c r="I14" s="225" t="str">
        <f t="shared" si="2"/>
        <v>g</v>
      </c>
      <c r="J14" s="224" t="str">
        <f>SUM(('Weekly Feeding Schedule'!$F$42/100)*(VLOOKUP('Weekly Feeding Schedule'!$C$42,'Data Sheet'!$A$8:$AX$155,C14,FALSE)))+(('Weekly Feeding Schedule'!$F$43/100)*(VLOOKUP('Weekly Feeding Schedule'!$C$43,'Data Sheet'!$A$8:$AX$155,C14,FALSE)))+(('Weekly Feeding Schedule'!$F$47/100)*(VLOOKUP('Weekly Feeding Schedule'!$C$47,'Data Sheet'!$A$8:$AX$155,C14,FALSE)))+(('Weekly Feeding Schedule'!$F$48/100)*(VLOOKUP('Weekly Feeding Schedule'!$C$48,'Data Sheet'!$A$8:$AX$155,C14,FALSE)))</f>
        <v>#N/A</v>
      </c>
      <c r="K14" s="225" t="str">
        <f t="shared" si="3"/>
        <v>g</v>
      </c>
      <c r="L14" s="224" t="str">
        <f>SUM(('Weekly Feeding Schedule'!$F$53/100)*(VLOOKUP('Weekly Feeding Schedule'!$C$53,'Data Sheet'!$A$8:$AX$155,C14,FALSE)))+(('Weekly Feeding Schedule'!$F$54/100)*(VLOOKUP('Weekly Feeding Schedule'!$C$54,'Data Sheet'!$A$8:$AX$155,C14,FALSE)))+(('Weekly Feeding Schedule'!$F$58/100)*(VLOOKUP('Weekly Feeding Schedule'!$C$58,'Data Sheet'!$A$8:$AX$155,C14,FALSE)))+(('Weekly Feeding Schedule'!$F$59/100)*(VLOOKUP('Weekly Feeding Schedule'!$C$59,'Data Sheet'!$A$8:$AX$155,C14,FALSE)))</f>
        <v>#N/A</v>
      </c>
      <c r="M14" s="225" t="str">
        <f t="shared" si="4"/>
        <v>g</v>
      </c>
      <c r="N14" s="224" t="str">
        <f>SUM(('Weekly Feeding Schedule'!$F$64/100)*(VLOOKUP('Weekly Feeding Schedule'!$C$64,'Data Sheet'!$A$8:$AX$155,C14,FALSE)))+(('Weekly Feeding Schedule'!$F$65/100)*(VLOOKUP('Weekly Feeding Schedule'!$C$65,'Data Sheet'!$A$8:$AX$155,C14,FALSE)))+(('Weekly Feeding Schedule'!$F$69/100)*(VLOOKUP('Weekly Feeding Schedule'!$C$69,'Data Sheet'!$A$8:$AX$155,C14,FALSE)))+(('Weekly Feeding Schedule'!$F$70/100)*(VLOOKUP('Weekly Feeding Schedule'!$C$70,'Data Sheet'!$A$8:$AX$155,C14,FALSE)))</f>
        <v>#N/A</v>
      </c>
      <c r="O14" s="225" t="str">
        <f t="shared" si="5"/>
        <v>g</v>
      </c>
      <c r="P14" s="224" t="str">
        <f>SUM(('Weekly Feeding Schedule'!$F$75/100)*(VLOOKUP('Weekly Feeding Schedule'!$C$75,'Data Sheet'!$A$8:$AX$155,C14,FALSE)))+(('Weekly Feeding Schedule'!$F$76/100)*(VLOOKUP('Weekly Feeding Schedule'!$C$76,'Data Sheet'!$A$8:$AX$155,C14,FALSE)))+(('Weekly Feeding Schedule'!$F$80/100)*(VLOOKUP('Weekly Feeding Schedule'!$C$80,'Data Sheet'!$A$8:$AX$155,C14,FALSE)))+(('Weekly Feeding Schedule'!$F$81/100)*(VLOOKUP('Weekly Feeding Schedule'!$C$81,'Data Sheet'!$A$8:$AX$155,C14,FALSE)))</f>
        <v>#N/A</v>
      </c>
      <c r="Q14" s="226" t="str">
        <f t="shared" si="6"/>
        <v>g</v>
      </c>
      <c r="R14" s="227" t="str">
        <f t="shared" si="7"/>
        <v>#N/A</v>
      </c>
      <c r="S14" s="228" t="str">
        <f t="shared" si="8"/>
        <v>g</v>
      </c>
      <c r="T14" s="229">
        <f>SUM((1.7/1000)*V4)</f>
        <v>0</v>
      </c>
      <c r="U14" s="230" t="str">
        <f t="shared" si="9"/>
        <v>g</v>
      </c>
      <c r="V14" s="231">
        <f>SUM((3.23/1000)*V4)</f>
        <v>0</v>
      </c>
      <c r="W14" s="229" t="str">
        <f t="shared" si="10"/>
        <v>g</v>
      </c>
    </row>
    <row r="15" ht="15.75" customHeight="1">
      <c r="A15" s="232" t="s">
        <v>75</v>
      </c>
      <c r="B15" s="232"/>
      <c r="C15" s="233">
        <f>'Data Sheet'!R6</f>
        <v>18</v>
      </c>
      <c r="D15" s="214" t="str">
        <f>SUM(('Weekly Feeding Schedule'!$F$9/100)*(VLOOKUP('Weekly Feeding Schedule'!$C$9,'Data Sheet'!$A$8:$AX$155,C15,FALSE)))+(('Weekly Feeding Schedule'!$F$10/100)*(VLOOKUP('Weekly Feeding Schedule'!$C$10,'Data Sheet'!$A$8:$AX$155,C15,FALSE)))+(('Weekly Feeding Schedule'!$F$14/100)*(VLOOKUP('Weekly Feeding Schedule'!$C$14,'Data Sheet'!$A$8:$AX$155,C15,FALSE)))+(('Weekly Feeding Schedule'!$F$15/100)*(VLOOKUP('Weekly Feeding Schedule'!$C$15,'Data Sheet'!$A$8:$AX$155,C15,FALSE)))</f>
        <v>#N/A</v>
      </c>
      <c r="E15" s="215" t="s">
        <v>68</v>
      </c>
      <c r="F15" s="214" t="str">
        <f>SUM(('Weekly Feeding Schedule'!$F$20/100)*(VLOOKUP('Weekly Feeding Schedule'!$C$20,'Data Sheet'!$A$8:$AX$155,C15,FALSE)))+(('Weekly Feeding Schedule'!$F$21/100)*(VLOOKUP('Weekly Feeding Schedule'!$C$21,'Data Sheet'!$A$8:$AX$155,C15,FALSE)))+(('Weekly Feeding Schedule'!$F$25/100)*(VLOOKUP('Weekly Feeding Schedule'!$C$25,'Data Sheet'!$A$8:$AX$155,C15,FALSE)))+(('Weekly Feeding Schedule'!$F$26/100)*(VLOOKUP('Weekly Feeding Schedule'!$C$26,'Data Sheet'!$A$8:$AX$155,C15,FALSE)))</f>
        <v>#N/A</v>
      </c>
      <c r="G15" s="215" t="str">
        <f t="shared" si="1"/>
        <v>g</v>
      </c>
      <c r="H15" s="214" t="str">
        <f>SUM(('Weekly Feeding Schedule'!$F$31/100)*(VLOOKUP('Weekly Feeding Schedule'!$C$31,'Data Sheet'!$A$8:$AX$155,C15,FALSE)))+(('Weekly Feeding Schedule'!$F$32/100)*(VLOOKUP('Weekly Feeding Schedule'!$C$32,'Data Sheet'!$A$8:$AX$155,C15,FALSE)))+(('Weekly Feeding Schedule'!$F$36/100)*(VLOOKUP('Weekly Feeding Schedule'!$C$36,'Data Sheet'!$A$8:$AX$155,C15,FALSE)))+(('Weekly Feeding Schedule'!$F$37/100)*(VLOOKUP('Weekly Feeding Schedule'!$C$37,'Data Sheet'!$A$8:$AX$155,C15,FALSE)))</f>
        <v>#N/A</v>
      </c>
      <c r="I15" s="215" t="str">
        <f t="shared" si="2"/>
        <v>g</v>
      </c>
      <c r="J15" s="214" t="str">
        <f>SUM(('Weekly Feeding Schedule'!$F$42/100)*(VLOOKUP('Weekly Feeding Schedule'!$C$42,'Data Sheet'!$A$8:$AX$155,C15,FALSE)))+(('Weekly Feeding Schedule'!$F$43/100)*(VLOOKUP('Weekly Feeding Schedule'!$C$43,'Data Sheet'!$A$8:$AX$155,C15,FALSE)))+(('Weekly Feeding Schedule'!$F$47/100)*(VLOOKUP('Weekly Feeding Schedule'!$C$47,'Data Sheet'!$A$8:$AX$155,C15,FALSE)))+(('Weekly Feeding Schedule'!$F$48/100)*(VLOOKUP('Weekly Feeding Schedule'!$C$48,'Data Sheet'!$A$8:$AX$155,C15,FALSE)))</f>
        <v>#N/A</v>
      </c>
      <c r="K15" s="215" t="str">
        <f t="shared" si="3"/>
        <v>g</v>
      </c>
      <c r="L15" s="214" t="str">
        <f>SUM(('Weekly Feeding Schedule'!$F$53/100)*(VLOOKUP('Weekly Feeding Schedule'!$C$53,'Data Sheet'!$A$8:$AX$155,C15,FALSE)))+(('Weekly Feeding Schedule'!$F$54/100)*(VLOOKUP('Weekly Feeding Schedule'!$C$54,'Data Sheet'!$A$8:$AX$155,C15,FALSE)))+(('Weekly Feeding Schedule'!$F$58/100)*(VLOOKUP('Weekly Feeding Schedule'!$C$58,'Data Sheet'!$A$8:$AX$155,C15,FALSE)))+(('Weekly Feeding Schedule'!$F$59/100)*(VLOOKUP('Weekly Feeding Schedule'!$C$59,'Data Sheet'!$A$8:$AX$155,C15,FALSE)))</f>
        <v>#N/A</v>
      </c>
      <c r="M15" s="215" t="str">
        <f t="shared" si="4"/>
        <v>g</v>
      </c>
      <c r="N15" s="214" t="str">
        <f>SUM(('Weekly Feeding Schedule'!$F$64/100)*(VLOOKUP('Weekly Feeding Schedule'!$C$64,'Data Sheet'!$A$8:$AX$155,C15,FALSE)))+(('Weekly Feeding Schedule'!$F$65/100)*(VLOOKUP('Weekly Feeding Schedule'!$C$65,'Data Sheet'!$A$8:$AX$155,C15,FALSE)))+(('Weekly Feeding Schedule'!$F$69/100)*(VLOOKUP('Weekly Feeding Schedule'!$C$69,'Data Sheet'!$A$8:$AX$155,C15,FALSE)))+(('Weekly Feeding Schedule'!$F$70/100)*(VLOOKUP('Weekly Feeding Schedule'!$C$70,'Data Sheet'!$A$8:$AX$155,C15,FALSE)))</f>
        <v>#N/A</v>
      </c>
      <c r="O15" s="215" t="str">
        <f t="shared" si="5"/>
        <v>g</v>
      </c>
      <c r="P15" s="214" t="str">
        <f>SUM(('Weekly Feeding Schedule'!$F$75/100)*(VLOOKUP('Weekly Feeding Schedule'!$C$75,'Data Sheet'!$A$8:$AX$155,C15,FALSE)))+(('Weekly Feeding Schedule'!$F$76/100)*(VLOOKUP('Weekly Feeding Schedule'!$C$76,'Data Sheet'!$A$8:$AX$155,C15,FALSE)))+(('Weekly Feeding Schedule'!$F$80/100)*(VLOOKUP('Weekly Feeding Schedule'!$C$80,'Data Sheet'!$A$8:$AX$155,C15,FALSE)))+(('Weekly Feeding Schedule'!$F$81/100)*(VLOOKUP('Weekly Feeding Schedule'!$C$81,'Data Sheet'!$A$8:$AX$155,C15,FALSE)))</f>
        <v>#N/A</v>
      </c>
      <c r="Q15" s="216" t="str">
        <f t="shared" si="6"/>
        <v>g</v>
      </c>
      <c r="R15" s="217" t="str">
        <f t="shared" si="7"/>
        <v>#N/A</v>
      </c>
      <c r="S15" s="218" t="str">
        <f t="shared" si="8"/>
        <v>g</v>
      </c>
      <c r="T15" s="234">
        <f>SUM((1.58/1000)*V4)</f>
        <v>0</v>
      </c>
      <c r="U15" s="235" t="str">
        <f t="shared" si="9"/>
        <v>g</v>
      </c>
      <c r="V15" s="236">
        <f>SUM((2.25/1000)*V4)</f>
        <v>0</v>
      </c>
      <c r="W15" s="234" t="str">
        <f t="shared" si="10"/>
        <v>g</v>
      </c>
    </row>
    <row r="16" ht="15.75" customHeight="1">
      <c r="A16" s="222" t="s">
        <v>76</v>
      </c>
      <c r="B16" s="222"/>
      <c r="C16" s="223">
        <f>'Data Sheet'!S6</f>
        <v>19</v>
      </c>
      <c r="D16" s="224" t="str">
        <f>SUM(('Weekly Feeding Schedule'!$F$9/100)*(VLOOKUP('Weekly Feeding Schedule'!$C$9,'Data Sheet'!$A$8:$AX$155,C16,FALSE)))+(('Weekly Feeding Schedule'!$F$10/100)*(VLOOKUP('Weekly Feeding Schedule'!$C$10,'Data Sheet'!$A$8:$AX$155,C16,FALSE)))+(('Weekly Feeding Schedule'!$F$14/100)*(VLOOKUP('Weekly Feeding Schedule'!$C$14,'Data Sheet'!$A$8:$AX$155,C16,FALSE)))+(('Weekly Feeding Schedule'!$F$15/100)*(VLOOKUP('Weekly Feeding Schedule'!$C$15,'Data Sheet'!$A$8:$AX$155,C16,FALSE)))</f>
        <v>#N/A</v>
      </c>
      <c r="E16" s="225" t="s">
        <v>68</v>
      </c>
      <c r="F16" s="224" t="str">
        <f>SUM(('Weekly Feeding Schedule'!$F$20/100)*(VLOOKUP('Weekly Feeding Schedule'!$C$20,'Data Sheet'!$A$8:$AX$155,C16,FALSE)))+(('Weekly Feeding Schedule'!$F$21/100)*(VLOOKUP('Weekly Feeding Schedule'!$C$21,'Data Sheet'!$A$8:$AX$155,C16,FALSE)))+(('Weekly Feeding Schedule'!$F$25/100)*(VLOOKUP('Weekly Feeding Schedule'!$C$25,'Data Sheet'!$A$8:$AX$155,C16,FALSE)))+(('Weekly Feeding Schedule'!$F$26/100)*(VLOOKUP('Weekly Feeding Schedule'!$C$26,'Data Sheet'!$A$8:$AX$155,C16,FALSE)))</f>
        <v>#N/A</v>
      </c>
      <c r="G16" s="225" t="str">
        <f t="shared" si="1"/>
        <v>g</v>
      </c>
      <c r="H16" s="224" t="str">
        <f>SUM(('Weekly Feeding Schedule'!$F$31/100)*(VLOOKUP('Weekly Feeding Schedule'!$C$31,'Data Sheet'!$A$8:$AX$155,C16,FALSE)))+(('Weekly Feeding Schedule'!$F$32/100)*(VLOOKUP('Weekly Feeding Schedule'!$C$32,'Data Sheet'!$A$8:$AX$155,C16,FALSE)))+(('Weekly Feeding Schedule'!$F$36/100)*(VLOOKUP('Weekly Feeding Schedule'!$C$36,'Data Sheet'!$A$8:$AX$155,C16,FALSE)))+(('Weekly Feeding Schedule'!$F$37/100)*(VLOOKUP('Weekly Feeding Schedule'!$C$37,'Data Sheet'!$A$8:$AX$155,C16,FALSE)))</f>
        <v>#N/A</v>
      </c>
      <c r="I16" s="225" t="str">
        <f t="shared" si="2"/>
        <v>g</v>
      </c>
      <c r="J16" s="224" t="str">
        <f>SUM(('Weekly Feeding Schedule'!$F$42/100)*(VLOOKUP('Weekly Feeding Schedule'!$C$42,'Data Sheet'!$A$8:$AX$155,C16,FALSE)))+(('Weekly Feeding Schedule'!$F$43/100)*(VLOOKUP('Weekly Feeding Schedule'!$C$43,'Data Sheet'!$A$8:$AX$155,C16,FALSE)))+(('Weekly Feeding Schedule'!$F$47/100)*(VLOOKUP('Weekly Feeding Schedule'!$C$47,'Data Sheet'!$A$8:$AX$155,C16,FALSE)))+(('Weekly Feeding Schedule'!$F$48/100)*(VLOOKUP('Weekly Feeding Schedule'!$C$48,'Data Sheet'!$A$8:$AX$155,C16,FALSE)))</f>
        <v>#N/A</v>
      </c>
      <c r="K16" s="225" t="str">
        <f t="shared" si="3"/>
        <v>g</v>
      </c>
      <c r="L16" s="224" t="str">
        <f>SUM(('Weekly Feeding Schedule'!$F$53/100)*(VLOOKUP('Weekly Feeding Schedule'!$C$53,'Data Sheet'!$A$8:$AX$155,C16,FALSE)))+(('Weekly Feeding Schedule'!$F$54/100)*(VLOOKUP('Weekly Feeding Schedule'!$C$54,'Data Sheet'!$A$8:$AX$155,C16,FALSE)))+(('Weekly Feeding Schedule'!$F$58/100)*(VLOOKUP('Weekly Feeding Schedule'!$C$58,'Data Sheet'!$A$8:$AX$155,C16,FALSE)))+(('Weekly Feeding Schedule'!$F$59/100)*(VLOOKUP('Weekly Feeding Schedule'!$C$59,'Data Sheet'!$A$8:$AX$155,C16,FALSE)))</f>
        <v>#N/A</v>
      </c>
      <c r="M16" s="225" t="str">
        <f t="shared" si="4"/>
        <v>g</v>
      </c>
      <c r="N16" s="224" t="str">
        <f>SUM(('Weekly Feeding Schedule'!$F$64/100)*(VLOOKUP('Weekly Feeding Schedule'!$C$64,'Data Sheet'!$A$8:$AX$155,C16,FALSE)))+(('Weekly Feeding Schedule'!$F$65/100)*(VLOOKUP('Weekly Feeding Schedule'!$C$65,'Data Sheet'!$A$8:$AX$155,C16,FALSE)))+(('Weekly Feeding Schedule'!$F$69/100)*(VLOOKUP('Weekly Feeding Schedule'!$C$69,'Data Sheet'!$A$8:$AX$155,C16,FALSE)))+(('Weekly Feeding Schedule'!$F$70/100)*(VLOOKUP('Weekly Feeding Schedule'!$C$70,'Data Sheet'!$A$8:$AX$155,C16,FALSE)))</f>
        <v>#N/A</v>
      </c>
      <c r="O16" s="225" t="str">
        <f t="shared" si="5"/>
        <v>g</v>
      </c>
      <c r="P16" s="224" t="str">
        <f>SUM(('Weekly Feeding Schedule'!$F$75/100)*(VLOOKUP('Weekly Feeding Schedule'!$C$75,'Data Sheet'!$A$8:$AX$155,C16,FALSE)))+(('Weekly Feeding Schedule'!$F$76/100)*(VLOOKUP('Weekly Feeding Schedule'!$C$76,'Data Sheet'!$A$8:$AX$155,C16,FALSE)))+(('Weekly Feeding Schedule'!$F$80/100)*(VLOOKUP('Weekly Feeding Schedule'!$C$80,'Data Sheet'!$A$8:$AX$155,C16,FALSE)))+(('Weekly Feeding Schedule'!$F$81/100)*(VLOOKUP('Weekly Feeding Schedule'!$C$81,'Data Sheet'!$A$8:$AX$155,C16,FALSE)))</f>
        <v>#N/A</v>
      </c>
      <c r="Q16" s="226" t="str">
        <f t="shared" si="6"/>
        <v>g</v>
      </c>
      <c r="R16" s="227" t="str">
        <f t="shared" si="7"/>
        <v>#N/A</v>
      </c>
      <c r="S16" s="228" t="str">
        <f t="shared" si="8"/>
        <v>g</v>
      </c>
      <c r="T16" s="229">
        <f>SUM((1.13/1000)*V4)</f>
        <v>0</v>
      </c>
      <c r="U16" s="230" t="str">
        <f t="shared" si="9"/>
        <v>g</v>
      </c>
      <c r="V16" s="231">
        <f>SUM((2.08/1000)*V4)</f>
        <v>0</v>
      </c>
      <c r="W16" s="229" t="str">
        <f t="shared" si="10"/>
        <v>g</v>
      </c>
    </row>
    <row r="17" ht="15.75" customHeight="1">
      <c r="A17" s="232" t="s">
        <v>77</v>
      </c>
      <c r="B17" s="232"/>
      <c r="C17" s="233">
        <f>'Data Sheet'!T6</f>
        <v>20</v>
      </c>
      <c r="D17" s="214" t="str">
        <f>SUM(('Weekly Feeding Schedule'!$F$9/100)*(VLOOKUP('Weekly Feeding Schedule'!$C$9,'Data Sheet'!$A$8:$AX$155,C17,FALSE)))+(('Weekly Feeding Schedule'!$F$10/100)*(VLOOKUP('Weekly Feeding Schedule'!$C$10,'Data Sheet'!$A$8:$AX$155,C17,FALSE)))+(('Weekly Feeding Schedule'!$F$14/100)*(VLOOKUP('Weekly Feeding Schedule'!$C$14,'Data Sheet'!$A$8:$AX$155,C17,FALSE)))+(('Weekly Feeding Schedule'!$F$15/100)*(VLOOKUP('Weekly Feeding Schedule'!$C$15,'Data Sheet'!$A$8:$AX$155,C17,FALSE)))</f>
        <v>#N/A</v>
      </c>
      <c r="E17" s="215" t="s">
        <v>68</v>
      </c>
      <c r="F17" s="214" t="str">
        <f>SUM(('Weekly Feeding Schedule'!$F$20/100)*(VLOOKUP('Weekly Feeding Schedule'!$C$20,'Data Sheet'!$A$8:$AX$155,C17,FALSE)))+(('Weekly Feeding Schedule'!$F$21/100)*(VLOOKUP('Weekly Feeding Schedule'!$C$21,'Data Sheet'!$A$8:$AX$155,C17,FALSE)))+(('Weekly Feeding Schedule'!$F$25/100)*(VLOOKUP('Weekly Feeding Schedule'!$C$25,'Data Sheet'!$A$8:$AX$155,C17,FALSE)))+(('Weekly Feeding Schedule'!$F$26/100)*(VLOOKUP('Weekly Feeding Schedule'!$C$26,'Data Sheet'!$A$8:$AX$155,C17,FALSE)))</f>
        <v>#N/A</v>
      </c>
      <c r="G17" s="215" t="str">
        <f t="shared" si="1"/>
        <v>g</v>
      </c>
      <c r="H17" s="214" t="str">
        <f>SUM(('Weekly Feeding Schedule'!$F$31/100)*(VLOOKUP('Weekly Feeding Schedule'!$C$31,'Data Sheet'!$A$8:$AX$155,C17,FALSE)))+(('Weekly Feeding Schedule'!$F$32/100)*(VLOOKUP('Weekly Feeding Schedule'!$C$32,'Data Sheet'!$A$8:$AX$155,C17,FALSE)))+(('Weekly Feeding Schedule'!$F$36/100)*(VLOOKUP('Weekly Feeding Schedule'!$C$36,'Data Sheet'!$A$8:$AX$155,C17,FALSE)))+(('Weekly Feeding Schedule'!$F$37/100)*(VLOOKUP('Weekly Feeding Schedule'!$C$37,'Data Sheet'!$A$8:$AX$155,C17,FALSE)))</f>
        <v>#N/A</v>
      </c>
      <c r="I17" s="215" t="str">
        <f t="shared" si="2"/>
        <v>g</v>
      </c>
      <c r="J17" s="214" t="str">
        <f>SUM(('Weekly Feeding Schedule'!$F$42/100)*(VLOOKUP('Weekly Feeding Schedule'!$C$42,'Data Sheet'!$A$8:$AX$155,C17,FALSE)))+(('Weekly Feeding Schedule'!$F$43/100)*(VLOOKUP('Weekly Feeding Schedule'!$C$43,'Data Sheet'!$A$8:$AX$155,C17,FALSE)))+(('Weekly Feeding Schedule'!$F$47/100)*(VLOOKUP('Weekly Feeding Schedule'!$C$47,'Data Sheet'!$A$8:$AX$155,C17,FALSE)))+(('Weekly Feeding Schedule'!$F$48/100)*(VLOOKUP('Weekly Feeding Schedule'!$C$48,'Data Sheet'!$A$8:$AX$155,C17,FALSE)))</f>
        <v>#N/A</v>
      </c>
      <c r="K17" s="215" t="str">
        <f t="shared" si="3"/>
        <v>g</v>
      </c>
      <c r="L17" s="214" t="str">
        <f>SUM(('Weekly Feeding Schedule'!$F$53/100)*(VLOOKUP('Weekly Feeding Schedule'!$C$53,'Data Sheet'!$A$8:$AX$155,C17,FALSE)))+(('Weekly Feeding Schedule'!$F$54/100)*(VLOOKUP('Weekly Feeding Schedule'!$C$54,'Data Sheet'!$A$8:$AX$155,C17,FALSE)))+(('Weekly Feeding Schedule'!$F$58/100)*(VLOOKUP('Weekly Feeding Schedule'!$C$58,'Data Sheet'!$A$8:$AX$155,C17,FALSE)))+(('Weekly Feeding Schedule'!$F$59/100)*(VLOOKUP('Weekly Feeding Schedule'!$C$59,'Data Sheet'!$A$8:$AX$155,C17,FALSE)))</f>
        <v>#N/A</v>
      </c>
      <c r="M17" s="215" t="str">
        <f t="shared" si="4"/>
        <v>g</v>
      </c>
      <c r="N17" s="214" t="str">
        <f>SUM(('Weekly Feeding Schedule'!$F$64/100)*(VLOOKUP('Weekly Feeding Schedule'!$C$64,'Data Sheet'!$A$8:$AX$155,C17,FALSE)))+(('Weekly Feeding Schedule'!$F$65/100)*(VLOOKUP('Weekly Feeding Schedule'!$C$65,'Data Sheet'!$A$8:$AX$155,C17,FALSE)))+(('Weekly Feeding Schedule'!$F$69/100)*(VLOOKUP('Weekly Feeding Schedule'!$C$69,'Data Sheet'!$A$8:$AX$155,C17,FALSE)))+(('Weekly Feeding Schedule'!$F$70/100)*(VLOOKUP('Weekly Feeding Schedule'!$C$70,'Data Sheet'!$A$8:$AX$155,C17,FALSE)))</f>
        <v>#N/A</v>
      </c>
      <c r="O17" s="215" t="str">
        <f t="shared" si="5"/>
        <v>g</v>
      </c>
      <c r="P17" s="214" t="str">
        <f>SUM(('Weekly Feeding Schedule'!$F$75/100)*(VLOOKUP('Weekly Feeding Schedule'!$C$75,'Data Sheet'!$A$8:$AX$155,C17,FALSE)))+(('Weekly Feeding Schedule'!$F$76/100)*(VLOOKUP('Weekly Feeding Schedule'!$C$76,'Data Sheet'!$A$8:$AX$155,C17,FALSE)))+(('Weekly Feeding Schedule'!$F$80/100)*(VLOOKUP('Weekly Feeding Schedule'!$C$80,'Data Sheet'!$A$8:$AX$155,C17,FALSE)))+(('Weekly Feeding Schedule'!$F$81/100)*(VLOOKUP('Weekly Feeding Schedule'!$C$81,'Data Sheet'!$A$8:$AX$155,C17,FALSE)))</f>
        <v>#N/A</v>
      </c>
      <c r="Q17" s="216" t="str">
        <f t="shared" si="6"/>
        <v>g</v>
      </c>
      <c r="R17" s="217" t="str">
        <f t="shared" si="7"/>
        <v>#N/A</v>
      </c>
      <c r="S17" s="218" t="str">
        <f t="shared" si="8"/>
        <v>g</v>
      </c>
      <c r="T17" s="240">
        <v>0.0</v>
      </c>
      <c r="U17" s="235" t="str">
        <f t="shared" si="9"/>
        <v>g</v>
      </c>
      <c r="V17" s="241">
        <v>0.0</v>
      </c>
      <c r="W17" s="234" t="str">
        <f t="shared" si="10"/>
        <v>g</v>
      </c>
    </row>
    <row r="18" ht="15.75" customHeight="1">
      <c r="A18" s="222" t="str">
        <f>CONCATENATE(A16, " &amp; ", A17)</f>
        <v>Phenylalanine &amp; Tyrosine</v>
      </c>
      <c r="B18" s="222"/>
      <c r="C18" s="242"/>
      <c r="D18" s="224" t="str">
        <f>SUM(D16+D17)</f>
        <v>#N/A</v>
      </c>
      <c r="E18" s="225" t="s">
        <v>68</v>
      </c>
      <c r="F18" s="224" t="str">
        <f>SUM(F16+F17)</f>
        <v>#N/A</v>
      </c>
      <c r="G18" s="225" t="str">
        <f t="shared" si="1"/>
        <v>g</v>
      </c>
      <c r="H18" s="224" t="str">
        <f>SUM(H16+H17)</f>
        <v>#N/A</v>
      </c>
      <c r="I18" s="225" t="str">
        <f t="shared" si="2"/>
        <v>g</v>
      </c>
      <c r="J18" s="224" t="str">
        <f>SUM(J16+J17)</f>
        <v>#N/A</v>
      </c>
      <c r="K18" s="225" t="str">
        <f t="shared" si="3"/>
        <v>g</v>
      </c>
      <c r="L18" s="224" t="str">
        <f>SUM(L16+L17)</f>
        <v>#N/A</v>
      </c>
      <c r="M18" s="225" t="str">
        <f t="shared" si="4"/>
        <v>g</v>
      </c>
      <c r="N18" s="224" t="str">
        <f>SUM(N16+N17)</f>
        <v>#N/A</v>
      </c>
      <c r="O18" s="225" t="str">
        <f t="shared" si="5"/>
        <v>g</v>
      </c>
      <c r="P18" s="224" t="str">
        <f>SUM(P16+P17)</f>
        <v>#N/A</v>
      </c>
      <c r="Q18" s="226" t="str">
        <f t="shared" si="6"/>
        <v>g</v>
      </c>
      <c r="R18" s="227" t="str">
        <f t="shared" si="7"/>
        <v>#N/A</v>
      </c>
      <c r="S18" s="228" t="str">
        <f t="shared" si="8"/>
        <v>g</v>
      </c>
      <c r="T18" s="229">
        <f>SUM((1.85/1000)*V4)</f>
        <v>0</v>
      </c>
      <c r="U18" s="230" t="str">
        <f t="shared" si="9"/>
        <v>g</v>
      </c>
      <c r="V18" s="231">
        <f>SUM((3.25/1000)*V4)</f>
        <v>0</v>
      </c>
      <c r="W18" s="229" t="str">
        <f t="shared" si="10"/>
        <v>g</v>
      </c>
    </row>
    <row r="19" ht="15.75" customHeight="1">
      <c r="A19" s="232" t="s">
        <v>78</v>
      </c>
      <c r="B19" s="232"/>
      <c r="C19" s="233">
        <f>'Data Sheet'!U6</f>
        <v>21</v>
      </c>
      <c r="D19" s="214" t="str">
        <f>SUM(('Weekly Feeding Schedule'!$F$9/100)*(VLOOKUP('Weekly Feeding Schedule'!$C$9,'Data Sheet'!$A$8:$AX$155,C19,FALSE)))+(('Weekly Feeding Schedule'!$F$10/100)*(VLOOKUP('Weekly Feeding Schedule'!$C$10,'Data Sheet'!$A$8:$AX$155,C19,FALSE)))+(('Weekly Feeding Schedule'!$F$14/100)*(VLOOKUP('Weekly Feeding Schedule'!$C$14,'Data Sheet'!$A$8:$AX$155,C19,FALSE)))+(('Weekly Feeding Schedule'!$F$15/100)*(VLOOKUP('Weekly Feeding Schedule'!$C$15,'Data Sheet'!$A$8:$AX$155,C19,FALSE)))</f>
        <v>#N/A</v>
      </c>
      <c r="E19" s="215" t="s">
        <v>68</v>
      </c>
      <c r="F19" s="214" t="str">
        <f>SUM(('Weekly Feeding Schedule'!$F$20/100)*(VLOOKUP('Weekly Feeding Schedule'!$C$20,'Data Sheet'!$A$8:$AX$155,C19,FALSE)))+(('Weekly Feeding Schedule'!$F$21/100)*(VLOOKUP('Weekly Feeding Schedule'!$C$21,'Data Sheet'!$A$8:$AX$155,C19,FALSE)))+(('Weekly Feeding Schedule'!$F$25/100)*(VLOOKUP('Weekly Feeding Schedule'!$C$25,'Data Sheet'!$A$8:$AX$155,C19,FALSE)))+(('Weekly Feeding Schedule'!$F$26/100)*(VLOOKUP('Weekly Feeding Schedule'!$C$26,'Data Sheet'!$A$8:$AX$155,C19,FALSE)))</f>
        <v>#N/A</v>
      </c>
      <c r="G19" s="215" t="str">
        <f t="shared" si="1"/>
        <v>g</v>
      </c>
      <c r="H19" s="214" t="str">
        <f>SUM(('Weekly Feeding Schedule'!$F$31/100)*(VLOOKUP('Weekly Feeding Schedule'!$C$31,'Data Sheet'!$A$8:$AX$155,C19,FALSE)))+(('Weekly Feeding Schedule'!$F$32/100)*(VLOOKUP('Weekly Feeding Schedule'!$C$32,'Data Sheet'!$A$8:$AX$155,C19,FALSE)))+(('Weekly Feeding Schedule'!$F$36/100)*(VLOOKUP('Weekly Feeding Schedule'!$C$36,'Data Sheet'!$A$8:$AX$155,C19,FALSE)))+(('Weekly Feeding Schedule'!$F$37/100)*(VLOOKUP('Weekly Feeding Schedule'!$C$37,'Data Sheet'!$A$8:$AX$155,C19,FALSE)))</f>
        <v>#N/A</v>
      </c>
      <c r="I19" s="215" t="str">
        <f t="shared" si="2"/>
        <v>g</v>
      </c>
      <c r="J19" s="214" t="str">
        <f>SUM(('Weekly Feeding Schedule'!$F$42/100)*(VLOOKUP('Weekly Feeding Schedule'!$C$42,'Data Sheet'!$A$8:$AX$155,C19,FALSE)))+(('Weekly Feeding Schedule'!$F$43/100)*(VLOOKUP('Weekly Feeding Schedule'!$C$43,'Data Sheet'!$A$8:$AX$155,C19,FALSE)))+(('Weekly Feeding Schedule'!$F$47/100)*(VLOOKUP('Weekly Feeding Schedule'!$C$47,'Data Sheet'!$A$8:$AX$155,C19,FALSE)))+(('Weekly Feeding Schedule'!$F$48/100)*(VLOOKUP('Weekly Feeding Schedule'!$C$48,'Data Sheet'!$A$8:$AX$155,C19,FALSE)))</f>
        <v>#N/A</v>
      </c>
      <c r="K19" s="215" t="str">
        <f t="shared" si="3"/>
        <v>g</v>
      </c>
      <c r="L19" s="214" t="str">
        <f>SUM(('Weekly Feeding Schedule'!$F$53/100)*(VLOOKUP('Weekly Feeding Schedule'!$C$53,'Data Sheet'!$A$8:$AX$155,C19,FALSE)))+(('Weekly Feeding Schedule'!$F$54/100)*(VLOOKUP('Weekly Feeding Schedule'!$C$54,'Data Sheet'!$A$8:$AX$155,C19,FALSE)))+(('Weekly Feeding Schedule'!$F$58/100)*(VLOOKUP('Weekly Feeding Schedule'!$C$58,'Data Sheet'!$A$8:$AX$155,C19,FALSE)))+(('Weekly Feeding Schedule'!$F$59/100)*(VLOOKUP('Weekly Feeding Schedule'!$C$59,'Data Sheet'!$A$8:$AX$155,C19,FALSE)))</f>
        <v>#N/A</v>
      </c>
      <c r="M19" s="215" t="str">
        <f t="shared" si="4"/>
        <v>g</v>
      </c>
      <c r="N19" s="214" t="str">
        <f>SUM(('Weekly Feeding Schedule'!$F$64/100)*(VLOOKUP('Weekly Feeding Schedule'!$C$64,'Data Sheet'!$A$8:$AX$155,C19,FALSE)))+(('Weekly Feeding Schedule'!$F$65/100)*(VLOOKUP('Weekly Feeding Schedule'!$C$65,'Data Sheet'!$A$8:$AX$155,C19,FALSE)))+(('Weekly Feeding Schedule'!$F$69/100)*(VLOOKUP('Weekly Feeding Schedule'!$C$69,'Data Sheet'!$A$8:$AX$155,C19,FALSE)))+(('Weekly Feeding Schedule'!$F$70/100)*(VLOOKUP('Weekly Feeding Schedule'!$C$70,'Data Sheet'!$A$8:$AX$155,C19,FALSE)))</f>
        <v>#N/A</v>
      </c>
      <c r="O19" s="215" t="str">
        <f t="shared" si="5"/>
        <v>g</v>
      </c>
      <c r="P19" s="214" t="str">
        <f>SUM(('Weekly Feeding Schedule'!$F$75/100)*(VLOOKUP('Weekly Feeding Schedule'!$C$75,'Data Sheet'!$A$8:$AX$155,C19,FALSE)))+(('Weekly Feeding Schedule'!$F$76/100)*(VLOOKUP('Weekly Feeding Schedule'!$C$76,'Data Sheet'!$A$8:$AX$155,C19,FALSE)))+(('Weekly Feeding Schedule'!$F$80/100)*(VLOOKUP('Weekly Feeding Schedule'!$C$80,'Data Sheet'!$A$8:$AX$155,C19,FALSE)))+(('Weekly Feeding Schedule'!$F$81/100)*(VLOOKUP('Weekly Feeding Schedule'!$C$81,'Data Sheet'!$A$8:$AX$155,C19,FALSE)))</f>
        <v>#N/A</v>
      </c>
      <c r="Q19" s="216" t="str">
        <f t="shared" si="6"/>
        <v>g</v>
      </c>
      <c r="R19" s="217" t="str">
        <f t="shared" si="7"/>
        <v>#N/A</v>
      </c>
      <c r="S19" s="218" t="str">
        <f t="shared" si="8"/>
        <v>g</v>
      </c>
      <c r="T19" s="234">
        <f>SUM((1.2/1000)*V4)</f>
        <v>0</v>
      </c>
      <c r="U19" s="235" t="str">
        <f t="shared" si="9"/>
        <v>g</v>
      </c>
      <c r="V19" s="236">
        <f>SUM((2.6/1000)*V4)</f>
        <v>0</v>
      </c>
      <c r="W19" s="234" t="str">
        <f t="shared" si="10"/>
        <v>g</v>
      </c>
    </row>
    <row r="20" ht="15.75" customHeight="1">
      <c r="A20" s="222" t="s">
        <v>79</v>
      </c>
      <c r="B20" s="222"/>
      <c r="C20" s="223">
        <f>'Data Sheet'!V6</f>
        <v>22</v>
      </c>
      <c r="D20" s="224" t="str">
        <f>SUM(('Weekly Feeding Schedule'!$F$9/100)*(VLOOKUP('Weekly Feeding Schedule'!$C$9,'Data Sheet'!$A$8:$AX$155,C20,FALSE)))+(('Weekly Feeding Schedule'!$F$10/100)*(VLOOKUP('Weekly Feeding Schedule'!$C$10,'Data Sheet'!$A$8:$AX$155,C20,FALSE)))+(('Weekly Feeding Schedule'!$F$14/100)*(VLOOKUP('Weekly Feeding Schedule'!$C$14,'Data Sheet'!$A$8:$AX$155,C20,FALSE)))+(('Weekly Feeding Schedule'!$F$15/100)*(VLOOKUP('Weekly Feeding Schedule'!$C$15,'Data Sheet'!$A$8:$AX$155,C20,FALSE)))</f>
        <v>#N/A</v>
      </c>
      <c r="E20" s="225" t="s">
        <v>68</v>
      </c>
      <c r="F20" s="224" t="str">
        <f>SUM(('Weekly Feeding Schedule'!$F$20/100)*(VLOOKUP('Weekly Feeding Schedule'!$C$20,'Data Sheet'!$A$8:$AX$155,C20,FALSE)))+(('Weekly Feeding Schedule'!$F$21/100)*(VLOOKUP('Weekly Feeding Schedule'!$C$21,'Data Sheet'!$A$8:$AX$155,C20,FALSE)))+(('Weekly Feeding Schedule'!$F$25/100)*(VLOOKUP('Weekly Feeding Schedule'!$C$25,'Data Sheet'!$A$8:$AX$155,C20,FALSE)))+(('Weekly Feeding Schedule'!$F$26/100)*(VLOOKUP('Weekly Feeding Schedule'!$C$26,'Data Sheet'!$A$8:$AX$155,C20,FALSE)))</f>
        <v>#N/A</v>
      </c>
      <c r="G20" s="225" t="str">
        <f t="shared" si="1"/>
        <v>g</v>
      </c>
      <c r="H20" s="224" t="str">
        <f>SUM(('Weekly Feeding Schedule'!$F$31/100)*(VLOOKUP('Weekly Feeding Schedule'!$C$31,'Data Sheet'!$A$8:$AX$155,C20,FALSE)))+(('Weekly Feeding Schedule'!$F$32/100)*(VLOOKUP('Weekly Feeding Schedule'!$C$32,'Data Sheet'!$A$8:$AX$155,C20,FALSE)))+(('Weekly Feeding Schedule'!$F$36/100)*(VLOOKUP('Weekly Feeding Schedule'!$C$36,'Data Sheet'!$A$8:$AX$155,C20,FALSE)))+(('Weekly Feeding Schedule'!$F$37/100)*(VLOOKUP('Weekly Feeding Schedule'!$C$37,'Data Sheet'!$A$8:$AX$155,C20,FALSE)))</f>
        <v>#N/A</v>
      </c>
      <c r="I20" s="225" t="str">
        <f t="shared" si="2"/>
        <v>g</v>
      </c>
      <c r="J20" s="224" t="str">
        <f>SUM(('Weekly Feeding Schedule'!$F$42/100)*(VLOOKUP('Weekly Feeding Schedule'!$C$42,'Data Sheet'!$A$8:$AX$155,C20,FALSE)))+(('Weekly Feeding Schedule'!$F$43/100)*(VLOOKUP('Weekly Feeding Schedule'!$C$43,'Data Sheet'!$A$8:$AX$155,C20,FALSE)))+(('Weekly Feeding Schedule'!$F$47/100)*(VLOOKUP('Weekly Feeding Schedule'!$C$47,'Data Sheet'!$A$8:$AX$155,C20,FALSE)))+(('Weekly Feeding Schedule'!$F$48/100)*(VLOOKUP('Weekly Feeding Schedule'!$C$48,'Data Sheet'!$A$8:$AX$155,C20,FALSE)))</f>
        <v>#N/A</v>
      </c>
      <c r="K20" s="225" t="str">
        <f t="shared" si="3"/>
        <v>g</v>
      </c>
      <c r="L20" s="224" t="str">
        <f>SUM(('Weekly Feeding Schedule'!$F$53/100)*(VLOOKUP('Weekly Feeding Schedule'!$C$53,'Data Sheet'!$A$8:$AX$155,C20,FALSE)))+(('Weekly Feeding Schedule'!$F$54/100)*(VLOOKUP('Weekly Feeding Schedule'!$C$54,'Data Sheet'!$A$8:$AX$155,C20,FALSE)))+(('Weekly Feeding Schedule'!$F$58/100)*(VLOOKUP('Weekly Feeding Schedule'!$C$58,'Data Sheet'!$A$8:$AX$155,C20,FALSE)))+(('Weekly Feeding Schedule'!$F$59/100)*(VLOOKUP('Weekly Feeding Schedule'!$C$59,'Data Sheet'!$A$8:$AX$155,C20,FALSE)))</f>
        <v>#N/A</v>
      </c>
      <c r="M20" s="225" t="str">
        <f t="shared" si="4"/>
        <v>g</v>
      </c>
      <c r="N20" s="224" t="str">
        <f>SUM(('Weekly Feeding Schedule'!$F$64/100)*(VLOOKUP('Weekly Feeding Schedule'!$C$64,'Data Sheet'!$A$8:$AX$155,C20,FALSE)))+(('Weekly Feeding Schedule'!$F$65/100)*(VLOOKUP('Weekly Feeding Schedule'!$C$65,'Data Sheet'!$A$8:$AX$155,C20,FALSE)))+(('Weekly Feeding Schedule'!$F$69/100)*(VLOOKUP('Weekly Feeding Schedule'!$C$69,'Data Sheet'!$A$8:$AX$155,C20,FALSE)))+(('Weekly Feeding Schedule'!$F$70/100)*(VLOOKUP('Weekly Feeding Schedule'!$C$70,'Data Sheet'!$A$8:$AX$155,C20,FALSE)))</f>
        <v>#N/A</v>
      </c>
      <c r="O20" s="225" t="str">
        <f t="shared" si="5"/>
        <v>g</v>
      </c>
      <c r="P20" s="224" t="str">
        <f>SUM(('Weekly Feeding Schedule'!$F$75/100)*(VLOOKUP('Weekly Feeding Schedule'!$C$75,'Data Sheet'!$A$8:$AX$155,C20,FALSE)))+(('Weekly Feeding Schedule'!$F$76/100)*(VLOOKUP('Weekly Feeding Schedule'!$C$76,'Data Sheet'!$A$8:$AX$155,C20,FALSE)))+(('Weekly Feeding Schedule'!$F$80/100)*(VLOOKUP('Weekly Feeding Schedule'!$C$80,'Data Sheet'!$A$8:$AX$155,C20,FALSE)))+(('Weekly Feeding Schedule'!$F$81/100)*(VLOOKUP('Weekly Feeding Schedule'!$C$81,'Data Sheet'!$A$8:$AX$155,C20,FALSE)))</f>
        <v>#N/A</v>
      </c>
      <c r="Q20" s="226" t="str">
        <f t="shared" si="6"/>
        <v>g</v>
      </c>
      <c r="R20" s="227" t="str">
        <f t="shared" si="7"/>
        <v>#N/A</v>
      </c>
      <c r="S20" s="228" t="str">
        <f t="shared" si="8"/>
        <v>g</v>
      </c>
      <c r="T20" s="229">
        <f>SUM((0.4/1000)*V4)</f>
        <v>0</v>
      </c>
      <c r="U20" s="230" t="str">
        <f t="shared" si="9"/>
        <v>g</v>
      </c>
      <c r="V20" s="231">
        <f>SUM((0.5/1000)*V4)</f>
        <v>0</v>
      </c>
      <c r="W20" s="229" t="str">
        <f t="shared" si="10"/>
        <v>g</v>
      </c>
    </row>
    <row r="21" ht="15.75" customHeight="1">
      <c r="A21" s="243" t="s">
        <v>80</v>
      </c>
      <c r="B21" s="243"/>
      <c r="C21" s="244">
        <f>'Data Sheet'!W6</f>
        <v>23</v>
      </c>
      <c r="D21" s="214" t="str">
        <f>SUM(('Weekly Feeding Schedule'!$F$9/100)*(VLOOKUP('Weekly Feeding Schedule'!$C$9,'Data Sheet'!$A$8:$AX$155,C21,FALSE)))+(('Weekly Feeding Schedule'!$F$10/100)*(VLOOKUP('Weekly Feeding Schedule'!$C$10,'Data Sheet'!$A$8:$AX$155,C21,FALSE)))+(('Weekly Feeding Schedule'!$F$14/100)*(VLOOKUP('Weekly Feeding Schedule'!$C$14,'Data Sheet'!$A$8:$AX$155,C21,FALSE)))+(('Weekly Feeding Schedule'!$F$15/100)*(VLOOKUP('Weekly Feeding Schedule'!$C$15,'Data Sheet'!$A$8:$AX$155,C21,FALSE)))</f>
        <v>#N/A</v>
      </c>
      <c r="E21" s="215" t="s">
        <v>68</v>
      </c>
      <c r="F21" s="214" t="str">
        <f>SUM(('Weekly Feeding Schedule'!$F$20/100)*(VLOOKUP('Weekly Feeding Schedule'!$C$20,'Data Sheet'!$A$8:$AX$155,C21,FALSE)))+(('Weekly Feeding Schedule'!$F$21/100)*(VLOOKUP('Weekly Feeding Schedule'!$C$21,'Data Sheet'!$A$8:$AX$155,C21,FALSE)))+(('Weekly Feeding Schedule'!$F$25/100)*(VLOOKUP('Weekly Feeding Schedule'!$C$25,'Data Sheet'!$A$8:$AX$155,C21,FALSE)))+(('Weekly Feeding Schedule'!$F$26/100)*(VLOOKUP('Weekly Feeding Schedule'!$C$26,'Data Sheet'!$A$8:$AX$155,C21,FALSE)))</f>
        <v>#N/A</v>
      </c>
      <c r="G21" s="215" t="str">
        <f t="shared" si="1"/>
        <v>g</v>
      </c>
      <c r="H21" s="214" t="str">
        <f>SUM(('Weekly Feeding Schedule'!$F$31/100)*(VLOOKUP('Weekly Feeding Schedule'!$C$31,'Data Sheet'!$A$8:$AX$155,C21,FALSE)))+(('Weekly Feeding Schedule'!$F$32/100)*(VLOOKUP('Weekly Feeding Schedule'!$C$32,'Data Sheet'!$A$8:$AX$155,C21,FALSE)))+(('Weekly Feeding Schedule'!$F$36/100)*(VLOOKUP('Weekly Feeding Schedule'!$C$36,'Data Sheet'!$A$8:$AX$155,C21,FALSE)))+(('Weekly Feeding Schedule'!$F$37/100)*(VLOOKUP('Weekly Feeding Schedule'!$C$37,'Data Sheet'!$A$8:$AX$155,C21,FALSE)))</f>
        <v>#N/A</v>
      </c>
      <c r="I21" s="215" t="str">
        <f t="shared" si="2"/>
        <v>g</v>
      </c>
      <c r="J21" s="214" t="str">
        <f>SUM(('Weekly Feeding Schedule'!$F$42/100)*(VLOOKUP('Weekly Feeding Schedule'!$C$42,'Data Sheet'!$A$8:$AX$155,C21,FALSE)))+(('Weekly Feeding Schedule'!$F$43/100)*(VLOOKUP('Weekly Feeding Schedule'!$C$43,'Data Sheet'!$A$8:$AX$155,C21,FALSE)))+(('Weekly Feeding Schedule'!$F$47/100)*(VLOOKUP('Weekly Feeding Schedule'!$C$47,'Data Sheet'!$A$8:$AX$155,C21,FALSE)))+(('Weekly Feeding Schedule'!$F$48/100)*(VLOOKUP('Weekly Feeding Schedule'!$C$48,'Data Sheet'!$A$8:$AX$155,C21,FALSE)))</f>
        <v>#N/A</v>
      </c>
      <c r="K21" s="215" t="str">
        <f t="shared" si="3"/>
        <v>g</v>
      </c>
      <c r="L21" s="214" t="str">
        <f>SUM(('Weekly Feeding Schedule'!$F$53/100)*(VLOOKUP('Weekly Feeding Schedule'!$C$53,'Data Sheet'!$A$8:$AX$155,C21,FALSE)))+(('Weekly Feeding Schedule'!$F$54/100)*(VLOOKUP('Weekly Feeding Schedule'!$C$54,'Data Sheet'!$A$8:$AX$155,C21,FALSE)))+(('Weekly Feeding Schedule'!$F$58/100)*(VLOOKUP('Weekly Feeding Schedule'!$C$58,'Data Sheet'!$A$8:$AX$155,C21,FALSE)))+(('Weekly Feeding Schedule'!$F$59/100)*(VLOOKUP('Weekly Feeding Schedule'!$C$59,'Data Sheet'!$A$8:$AX$155,C21,FALSE)))</f>
        <v>#N/A</v>
      </c>
      <c r="M21" s="215" t="str">
        <f t="shared" si="4"/>
        <v>g</v>
      </c>
      <c r="N21" s="214" t="str">
        <f>SUM(('Weekly Feeding Schedule'!$F$64/100)*(VLOOKUP('Weekly Feeding Schedule'!$C$64,'Data Sheet'!$A$8:$AX$155,C21,FALSE)))+(('Weekly Feeding Schedule'!$F$65/100)*(VLOOKUP('Weekly Feeding Schedule'!$C$65,'Data Sheet'!$A$8:$AX$155,C21,FALSE)))+(('Weekly Feeding Schedule'!$F$69/100)*(VLOOKUP('Weekly Feeding Schedule'!$C$69,'Data Sheet'!$A$8:$AX$155,C21,FALSE)))+(('Weekly Feeding Schedule'!$F$70/100)*(VLOOKUP('Weekly Feeding Schedule'!$C$70,'Data Sheet'!$A$8:$AX$155,C21,FALSE)))</f>
        <v>#N/A</v>
      </c>
      <c r="O21" s="215" t="str">
        <f t="shared" si="5"/>
        <v>g</v>
      </c>
      <c r="P21" s="214" t="str">
        <f>SUM(('Weekly Feeding Schedule'!$F$75/100)*(VLOOKUP('Weekly Feeding Schedule'!$C$75,'Data Sheet'!$A$8:$AX$155,C21,FALSE)))+(('Weekly Feeding Schedule'!$F$76/100)*(VLOOKUP('Weekly Feeding Schedule'!$C$76,'Data Sheet'!$A$8:$AX$155,C21,FALSE)))+(('Weekly Feeding Schedule'!$F$80/100)*(VLOOKUP('Weekly Feeding Schedule'!$C$80,'Data Sheet'!$A$8:$AX$155,C21,FALSE)))+(('Weekly Feeding Schedule'!$F$81/100)*(VLOOKUP('Weekly Feeding Schedule'!$C$81,'Data Sheet'!$A$8:$AX$155,C21,FALSE)))</f>
        <v>#N/A</v>
      </c>
      <c r="Q21" s="216" t="str">
        <f t="shared" si="6"/>
        <v>g</v>
      </c>
      <c r="R21" s="245" t="str">
        <f t="shared" si="7"/>
        <v>#N/A</v>
      </c>
      <c r="S21" s="246" t="str">
        <f t="shared" si="8"/>
        <v>g</v>
      </c>
      <c r="T21" s="247">
        <f>SUM((1.23/1000)*V4)</f>
        <v>0</v>
      </c>
      <c r="U21" s="248" t="str">
        <f t="shared" si="9"/>
        <v>g</v>
      </c>
      <c r="V21" s="249">
        <f>SUM((1.7/1000)*V4)</f>
        <v>0</v>
      </c>
      <c r="W21" s="247" t="str">
        <f t="shared" si="10"/>
        <v>g</v>
      </c>
    </row>
    <row r="22" ht="15.75" customHeight="1">
      <c r="A22" s="204" t="s">
        <v>81</v>
      </c>
      <c r="B22" s="130"/>
      <c r="C22" s="205"/>
      <c r="D22" s="250" t="str">
        <f>D6</f>
        <v>Sunday</v>
      </c>
      <c r="E22" s="205"/>
      <c r="F22" s="251" t="str">
        <f>F6</f>
        <v>Monday</v>
      </c>
      <c r="G22" s="205"/>
      <c r="H22" s="251" t="str">
        <f>H6</f>
        <v>Tuesday</v>
      </c>
      <c r="I22" s="205"/>
      <c r="J22" s="251" t="str">
        <f>J6</f>
        <v>Wednesday</v>
      </c>
      <c r="K22" s="205"/>
      <c r="L22" s="251" t="str">
        <f>L6</f>
        <v>Thursday</v>
      </c>
      <c r="M22" s="205"/>
      <c r="N22" s="251" t="str">
        <f>N6</f>
        <v>Friday</v>
      </c>
      <c r="O22" s="205"/>
      <c r="P22" s="251" t="str">
        <f>P6</f>
        <v>Saturday</v>
      </c>
      <c r="Q22" s="205"/>
      <c r="R22" s="252" t="str">
        <f>$R$6</f>
        <v>Average</v>
      </c>
      <c r="S22" s="108"/>
      <c r="T22" s="253" t="str">
        <f>T6</f>
        <v>AAFCO 2020 Adult Minimums</v>
      </c>
      <c r="U22" s="254"/>
      <c r="V22" s="253" t="str">
        <f>V6</f>
        <v>AAFCO 2020 Growth &amp; Reproduction Minimums</v>
      </c>
      <c r="W22" s="210"/>
    </row>
    <row r="23" ht="15.75" customHeight="1">
      <c r="A23" s="212" t="s">
        <v>82</v>
      </c>
      <c r="B23" s="212"/>
      <c r="C23" s="213">
        <f>'Data Sheet'!I6</f>
        <v>9</v>
      </c>
      <c r="D23" s="214" t="str">
        <f>SUM(('Weekly Feeding Schedule'!$F$9/100)*(VLOOKUP('Weekly Feeding Schedule'!$C$9,'Data Sheet'!$A$8:$AX$155,C23,FALSE)))+(('Weekly Feeding Schedule'!$F$10/100)*(VLOOKUP('Weekly Feeding Schedule'!$C$10,'Data Sheet'!$A$8:$AX$155,C23,FALSE)))+(('Weekly Feeding Schedule'!$F$14/100)*(VLOOKUP('Weekly Feeding Schedule'!$C$14,'Data Sheet'!$A$8:$AX$155,C23,FALSE)))+(('Weekly Feeding Schedule'!$F$15/100)*(VLOOKUP('Weekly Feeding Schedule'!$C$15,'Data Sheet'!$A$8:$AX$155,C23,FALSE)))</f>
        <v>#N/A</v>
      </c>
      <c r="E23" s="215" t="s">
        <v>68</v>
      </c>
      <c r="F23" s="214" t="str">
        <f>SUM(('Weekly Feeding Schedule'!$F$20/100)*(VLOOKUP('Weekly Feeding Schedule'!$C$20,'Data Sheet'!$A$8:$AX$155,C23,FALSE)))+(('Weekly Feeding Schedule'!$F$21/100)*(VLOOKUP('Weekly Feeding Schedule'!$C$21,'Data Sheet'!$A$8:$AX$155,C23,FALSE)))+(('Weekly Feeding Schedule'!$F$25/100)*(VLOOKUP('Weekly Feeding Schedule'!$C$25,'Data Sheet'!$A$8:$AX$155,C23,FALSE)))+(('Weekly Feeding Schedule'!$F$26/100)*(VLOOKUP('Weekly Feeding Schedule'!$C$26,'Data Sheet'!$A$8:$AX$155,C23,FALSE)))</f>
        <v>#N/A</v>
      </c>
      <c r="G23" s="215" t="str">
        <f t="shared" ref="G23:G27" si="11">E23</f>
        <v>g</v>
      </c>
      <c r="H23" s="214" t="str">
        <f>SUM(('Weekly Feeding Schedule'!$F$31/100)*(VLOOKUP('Weekly Feeding Schedule'!$C$31,'Data Sheet'!$A$8:$AX$155,C23,FALSE)))+(('Weekly Feeding Schedule'!$F$32/100)*(VLOOKUP('Weekly Feeding Schedule'!$C$32,'Data Sheet'!$A$8:$AX$155,C23,FALSE)))+(('Weekly Feeding Schedule'!$F$36/100)*(VLOOKUP('Weekly Feeding Schedule'!$C$36,'Data Sheet'!$A$8:$AX$155,C23,FALSE)))+(('Weekly Feeding Schedule'!$F$37/100)*(VLOOKUP('Weekly Feeding Schedule'!$C$37,'Data Sheet'!$A$8:$AX$155,C23,FALSE)))</f>
        <v>#N/A</v>
      </c>
      <c r="I23" s="215" t="str">
        <f t="shared" ref="I23:I27" si="12">E23</f>
        <v>g</v>
      </c>
      <c r="J23" s="214" t="str">
        <f>SUM(('Weekly Feeding Schedule'!$F$42/100)*(VLOOKUP('Weekly Feeding Schedule'!$C$42,'Data Sheet'!$A$8:$AX$155,C23,FALSE)))+(('Weekly Feeding Schedule'!$F$43/100)*(VLOOKUP('Weekly Feeding Schedule'!$C$43,'Data Sheet'!$A$8:$AX$155,C23,FALSE)))+(('Weekly Feeding Schedule'!$F$47/100)*(VLOOKUP('Weekly Feeding Schedule'!$C$47,'Data Sheet'!$A$8:$AX$155,C23,FALSE)))+(('Weekly Feeding Schedule'!$F$48/100)*(VLOOKUP('Weekly Feeding Schedule'!$C$48,'Data Sheet'!$A$8:$AX$155,C23,FALSE)))</f>
        <v>#N/A</v>
      </c>
      <c r="K23" s="215" t="str">
        <f t="shared" ref="K23:K27" si="13">E23</f>
        <v>g</v>
      </c>
      <c r="L23" s="214" t="str">
        <f>SUM(('Weekly Feeding Schedule'!$F$53/100)*(VLOOKUP('Weekly Feeding Schedule'!$C$53,'Data Sheet'!$A$8:$AX$155,C23,FALSE)))+(('Weekly Feeding Schedule'!$F$54/100)*(VLOOKUP('Weekly Feeding Schedule'!$C$54,'Data Sheet'!$A$8:$AX$155,C23,FALSE)))+(('Weekly Feeding Schedule'!$F$58/100)*(VLOOKUP('Weekly Feeding Schedule'!$C$58,'Data Sheet'!$A$8:$AX$155,C23,FALSE)))+(('Weekly Feeding Schedule'!$F$59/100)*(VLOOKUP('Weekly Feeding Schedule'!$C$59,'Data Sheet'!$A$8:$AX$155,C23,FALSE)))</f>
        <v>#N/A</v>
      </c>
      <c r="M23" s="215" t="str">
        <f t="shared" ref="M23:M27" si="14">E23</f>
        <v>g</v>
      </c>
      <c r="N23" s="214" t="str">
        <f>SUM(('Weekly Feeding Schedule'!$F$64/100)*(VLOOKUP('Weekly Feeding Schedule'!$C$64,'Data Sheet'!$A$8:$AX$155,C23,FALSE)))+(('Weekly Feeding Schedule'!$F$65/100)*(VLOOKUP('Weekly Feeding Schedule'!$C$65,'Data Sheet'!$A$8:$AX$155,C23,FALSE)))+(('Weekly Feeding Schedule'!$F$69/100)*(VLOOKUP('Weekly Feeding Schedule'!$C$69,'Data Sheet'!$A$8:$AX$155,C23,FALSE)))+(('Weekly Feeding Schedule'!$F$70/100)*(VLOOKUP('Weekly Feeding Schedule'!$C$70,'Data Sheet'!$A$8:$AX$155,C23,FALSE)))</f>
        <v>#N/A</v>
      </c>
      <c r="O23" s="215" t="str">
        <f t="shared" ref="O23:O27" si="15">E23</f>
        <v>g</v>
      </c>
      <c r="P23" s="214" t="str">
        <f>SUM(('Weekly Feeding Schedule'!$F$75/100)*(VLOOKUP('Weekly Feeding Schedule'!$C$75,'Data Sheet'!$A$8:$AX$155,C23,FALSE)))+(('Weekly Feeding Schedule'!$F$76/100)*(VLOOKUP('Weekly Feeding Schedule'!$C$76,'Data Sheet'!$A$8:$AX$155,C23,FALSE)))+(('Weekly Feeding Schedule'!$F$80/100)*(VLOOKUP('Weekly Feeding Schedule'!$C$80,'Data Sheet'!$A$8:$AX$155,C23,FALSE)))+(('Weekly Feeding Schedule'!$F$81/100)*(VLOOKUP('Weekly Feeding Schedule'!$C$81,'Data Sheet'!$A$8:$AX$155,C23,FALSE)))</f>
        <v>#N/A</v>
      </c>
      <c r="Q23" s="216" t="str">
        <f t="shared" ref="Q23:Q27" si="16">E23</f>
        <v>g</v>
      </c>
      <c r="R23" s="217" t="str">
        <f t="shared" ref="R23:R27" si="17">SUM(D23+F23+H23+J23+L23+N23+P23)/7</f>
        <v>#N/A</v>
      </c>
      <c r="S23" s="218" t="str">
        <f t="shared" ref="S23:S27" si="18">E23</f>
        <v>g</v>
      </c>
      <c r="T23" s="219">
        <f>SUM((13.8/1000)*V4)</f>
        <v>0</v>
      </c>
      <c r="U23" s="220" t="str">
        <f t="shared" ref="U23:U27" si="19">E23</f>
        <v>g</v>
      </c>
      <c r="V23" s="219">
        <f>SUM((21.3/1000)*V4)</f>
        <v>0</v>
      </c>
      <c r="W23" s="219" t="str">
        <f t="shared" ref="W23:W27" si="20">U23</f>
        <v>g</v>
      </c>
    </row>
    <row r="24" ht="15.75" customHeight="1">
      <c r="A24" s="222" t="s">
        <v>83</v>
      </c>
      <c r="B24" s="222"/>
      <c r="C24" s="223">
        <f>'Data Sheet'!X6</f>
        <v>24</v>
      </c>
      <c r="D24" s="224" t="str">
        <f>SUM(('Weekly Feeding Schedule'!$F$9/100)*(VLOOKUP('Weekly Feeding Schedule'!$C$9,'Data Sheet'!$A$8:$AX$155,C24,FALSE)))+(('Weekly Feeding Schedule'!$F$10/100)*(VLOOKUP('Weekly Feeding Schedule'!$C$10,'Data Sheet'!$A$8:$AX$155,C24,FALSE)))+(('Weekly Feeding Schedule'!$F$14/100)*(VLOOKUP('Weekly Feeding Schedule'!$C$14,'Data Sheet'!$A$8:$AX$155,C24,FALSE)))+(('Weekly Feeding Schedule'!$F$15/100)*(VLOOKUP('Weekly Feeding Schedule'!$C$15,'Data Sheet'!$A$8:$AX$155,C24,FALSE)))</f>
        <v>#N/A</v>
      </c>
      <c r="E24" s="255" t="s">
        <v>68</v>
      </c>
      <c r="F24" s="224" t="str">
        <f>SUM(('Weekly Feeding Schedule'!$F$20/100)*(VLOOKUP('Weekly Feeding Schedule'!$C$20,'Data Sheet'!$A$8:$AX$155,C24,FALSE)))+(('Weekly Feeding Schedule'!$F$21/100)*(VLOOKUP('Weekly Feeding Schedule'!$C$21,'Data Sheet'!$A$8:$AX$155,C24,FALSE)))+(('Weekly Feeding Schedule'!$F$25/100)*(VLOOKUP('Weekly Feeding Schedule'!$C$25,'Data Sheet'!$A$8:$AX$155,C24,FALSE)))+(('Weekly Feeding Schedule'!$F$26/100)*(VLOOKUP('Weekly Feeding Schedule'!$C$26,'Data Sheet'!$A$8:$AX$155,C24,FALSE)))</f>
        <v>#N/A</v>
      </c>
      <c r="G24" s="225" t="str">
        <f t="shared" si="11"/>
        <v>g</v>
      </c>
      <c r="H24" s="224" t="str">
        <f>SUM(('Weekly Feeding Schedule'!$F$31/100)*(VLOOKUP('Weekly Feeding Schedule'!$C$31,'Data Sheet'!$A$8:$AX$155,C24,FALSE)))+(('Weekly Feeding Schedule'!$F$32/100)*(VLOOKUP('Weekly Feeding Schedule'!$C$32,'Data Sheet'!$A$8:$AX$155,C24,FALSE)))+(('Weekly Feeding Schedule'!$F$36/100)*(VLOOKUP('Weekly Feeding Schedule'!$C$36,'Data Sheet'!$A$8:$AX$155,C24,FALSE)))+(('Weekly Feeding Schedule'!$F$37/100)*(VLOOKUP('Weekly Feeding Schedule'!$C$37,'Data Sheet'!$A$8:$AX$155,C24,FALSE)))</f>
        <v>#N/A</v>
      </c>
      <c r="I24" s="225" t="str">
        <f t="shared" si="12"/>
        <v>g</v>
      </c>
      <c r="J24" s="224" t="str">
        <f>SUM(('Weekly Feeding Schedule'!$F$42/100)*(VLOOKUP('Weekly Feeding Schedule'!$C$42,'Data Sheet'!$A$8:$AX$155,C24,FALSE)))+(('Weekly Feeding Schedule'!$F$43/100)*(VLOOKUP('Weekly Feeding Schedule'!$C$43,'Data Sheet'!$A$8:$AX$155,C24,FALSE)))+(('Weekly Feeding Schedule'!$F$47/100)*(VLOOKUP('Weekly Feeding Schedule'!$C$47,'Data Sheet'!$A$8:$AX$155,C24,FALSE)))+(('Weekly Feeding Schedule'!$F$48/100)*(VLOOKUP('Weekly Feeding Schedule'!$C$48,'Data Sheet'!$A$8:$AX$155,C24,FALSE)))</f>
        <v>#N/A</v>
      </c>
      <c r="K24" s="225" t="str">
        <f t="shared" si="13"/>
        <v>g</v>
      </c>
      <c r="L24" s="224" t="str">
        <f>SUM(('Weekly Feeding Schedule'!$F$53/100)*(VLOOKUP('Weekly Feeding Schedule'!$C$53,'Data Sheet'!$A$8:$AX$155,C24,FALSE)))+(('Weekly Feeding Schedule'!$F$54/100)*(VLOOKUP('Weekly Feeding Schedule'!$C$54,'Data Sheet'!$A$8:$AX$155,C24,FALSE)))+(('Weekly Feeding Schedule'!$F$58/100)*(VLOOKUP('Weekly Feeding Schedule'!$C$58,'Data Sheet'!$A$8:$AX$155,C24,FALSE)))+(('Weekly Feeding Schedule'!$F$59/100)*(VLOOKUP('Weekly Feeding Schedule'!$C$59,'Data Sheet'!$A$8:$AX$155,C24,FALSE)))</f>
        <v>#N/A</v>
      </c>
      <c r="M24" s="225" t="str">
        <f t="shared" si="14"/>
        <v>g</v>
      </c>
      <c r="N24" s="224" t="str">
        <f>SUM(('Weekly Feeding Schedule'!$F$64/100)*(VLOOKUP('Weekly Feeding Schedule'!$C$64,'Data Sheet'!$A$8:$AX$155,C24,FALSE)))+(('Weekly Feeding Schedule'!$F$65/100)*(VLOOKUP('Weekly Feeding Schedule'!$C$65,'Data Sheet'!$A$8:$AX$155,C24,FALSE)))+(('Weekly Feeding Schedule'!$F$69/100)*(VLOOKUP('Weekly Feeding Schedule'!$C$69,'Data Sheet'!$A$8:$AX$155,C24,FALSE)))+(('Weekly Feeding Schedule'!$F$70/100)*(VLOOKUP('Weekly Feeding Schedule'!$C$70,'Data Sheet'!$A$8:$AX$155,C24,FALSE)))</f>
        <v>#N/A</v>
      </c>
      <c r="O24" s="225" t="str">
        <f t="shared" si="15"/>
        <v>g</v>
      </c>
      <c r="P24" s="224" t="str">
        <f>SUM(('Weekly Feeding Schedule'!$F$75/100)*(VLOOKUP('Weekly Feeding Schedule'!$C$75,'Data Sheet'!$A$8:$AX$155,C24,FALSE)))+(('Weekly Feeding Schedule'!$F$76/100)*(VLOOKUP('Weekly Feeding Schedule'!$C$76,'Data Sheet'!$A$8:$AX$155,C24,FALSE)))+(('Weekly Feeding Schedule'!$F$80/100)*(VLOOKUP('Weekly Feeding Schedule'!$C$80,'Data Sheet'!$A$8:$AX$155,C24,FALSE)))+(('Weekly Feeding Schedule'!$F$81/100)*(VLOOKUP('Weekly Feeding Schedule'!$C$81,'Data Sheet'!$A$8:$AX$155,C24,FALSE)))</f>
        <v>#N/A</v>
      </c>
      <c r="Q24" s="226" t="str">
        <f t="shared" si="16"/>
        <v>g</v>
      </c>
      <c r="R24" s="227" t="str">
        <f t="shared" si="17"/>
        <v>#N/A</v>
      </c>
      <c r="S24" s="228" t="str">
        <f t="shared" si="18"/>
        <v>g</v>
      </c>
      <c r="T24" s="229">
        <f>SUM((2.8/1000)*V4)</f>
        <v>0</v>
      </c>
      <c r="U24" s="230" t="str">
        <f t="shared" si="19"/>
        <v>g</v>
      </c>
      <c r="V24" s="229">
        <f>SUM((3.3/1000)*V4)</f>
        <v>0</v>
      </c>
      <c r="W24" s="229" t="str">
        <f t="shared" si="20"/>
        <v>g</v>
      </c>
    </row>
    <row r="25" ht="15.75" customHeight="1">
      <c r="A25" s="232" t="s">
        <v>84</v>
      </c>
      <c r="B25" s="232"/>
      <c r="C25" s="233">
        <f>'Data Sheet'!Y6</f>
        <v>25</v>
      </c>
      <c r="D25" s="214" t="str">
        <f>SUM(('Weekly Feeding Schedule'!$F$9/100)*(VLOOKUP('Weekly Feeding Schedule'!$C$9,'Data Sheet'!$A$8:$AX$155,C25,FALSE)))+(('Weekly Feeding Schedule'!$F$10/100)*(VLOOKUP('Weekly Feeding Schedule'!$C$10,'Data Sheet'!$A$8:$AX$155,C25,FALSE)))+(('Weekly Feeding Schedule'!$F$14/100)*(VLOOKUP('Weekly Feeding Schedule'!$C$14,'Data Sheet'!$A$8:$AX$155,C25,FALSE)))+(('Weekly Feeding Schedule'!$F$15/100)*(VLOOKUP('Weekly Feeding Schedule'!$C$15,'Data Sheet'!$A$8:$AX$155,C25,FALSE)))</f>
        <v>#N/A</v>
      </c>
      <c r="E25" s="256" t="s">
        <v>68</v>
      </c>
      <c r="F25" s="214" t="str">
        <f>SUM(('Weekly Feeding Schedule'!$F$20/100)*(VLOOKUP('Weekly Feeding Schedule'!$C$20,'Data Sheet'!$A$8:$AX$155,C25,FALSE)))+(('Weekly Feeding Schedule'!$F$21/100)*(VLOOKUP('Weekly Feeding Schedule'!$C$21,'Data Sheet'!$A$8:$AX$155,C25,FALSE)))+(('Weekly Feeding Schedule'!$F$25/100)*(VLOOKUP('Weekly Feeding Schedule'!$C$25,'Data Sheet'!$A$8:$AX$155,C25,FALSE)))+(('Weekly Feeding Schedule'!$F$26/100)*(VLOOKUP('Weekly Feeding Schedule'!$C$26,'Data Sheet'!$A$8:$AX$155,C25,FALSE)))</f>
        <v>#N/A</v>
      </c>
      <c r="G25" s="215" t="str">
        <f t="shared" si="11"/>
        <v>g</v>
      </c>
      <c r="H25" s="214" t="str">
        <f>SUM(('Weekly Feeding Schedule'!$F$31/100)*(VLOOKUP('Weekly Feeding Schedule'!$C$31,'Data Sheet'!$A$8:$AX$155,C25,FALSE)))+(('Weekly Feeding Schedule'!$F$32/100)*(VLOOKUP('Weekly Feeding Schedule'!$C$32,'Data Sheet'!$A$8:$AX$155,C25,FALSE)))+(('Weekly Feeding Schedule'!$F$36/100)*(VLOOKUP('Weekly Feeding Schedule'!$C$36,'Data Sheet'!$A$8:$AX$155,C25,FALSE)))+(('Weekly Feeding Schedule'!$F$37/100)*(VLOOKUP('Weekly Feeding Schedule'!$C$37,'Data Sheet'!$A$8:$AX$155,C25,FALSE)))</f>
        <v>#N/A</v>
      </c>
      <c r="I25" s="215" t="str">
        <f t="shared" si="12"/>
        <v>g</v>
      </c>
      <c r="J25" s="214" t="str">
        <f>SUM(('Weekly Feeding Schedule'!$F$42/100)*(VLOOKUP('Weekly Feeding Schedule'!$C$42,'Data Sheet'!$A$8:$AX$155,C25,FALSE)))+(('Weekly Feeding Schedule'!$F$43/100)*(VLOOKUP('Weekly Feeding Schedule'!$C$43,'Data Sheet'!$A$8:$AX$155,C25,FALSE)))+(('Weekly Feeding Schedule'!$F$47/100)*(VLOOKUP('Weekly Feeding Schedule'!$C$47,'Data Sheet'!$A$8:$AX$155,C25,FALSE)))+(('Weekly Feeding Schedule'!$F$48/100)*(VLOOKUP('Weekly Feeding Schedule'!$C$48,'Data Sheet'!$A$8:$AX$155,C25,FALSE)))</f>
        <v>#N/A</v>
      </c>
      <c r="K25" s="215" t="str">
        <f t="shared" si="13"/>
        <v>g</v>
      </c>
      <c r="L25" s="214" t="str">
        <f>SUM(('Weekly Feeding Schedule'!$F$53/100)*(VLOOKUP('Weekly Feeding Schedule'!$C$53,'Data Sheet'!$A$8:$AX$155,C25,FALSE)))+(('Weekly Feeding Schedule'!$F$54/100)*(VLOOKUP('Weekly Feeding Schedule'!$C$54,'Data Sheet'!$A$8:$AX$155,C25,FALSE)))+(('Weekly Feeding Schedule'!$F$58/100)*(VLOOKUP('Weekly Feeding Schedule'!$C$58,'Data Sheet'!$A$8:$AX$155,C25,FALSE)))+(('Weekly Feeding Schedule'!$F$59/100)*(VLOOKUP('Weekly Feeding Schedule'!$C$59,'Data Sheet'!$A$8:$AX$155,C25,FALSE)))</f>
        <v>#N/A</v>
      </c>
      <c r="M25" s="215" t="str">
        <f t="shared" si="14"/>
        <v>g</v>
      </c>
      <c r="N25" s="214" t="str">
        <f>SUM(('Weekly Feeding Schedule'!$F$64/100)*(VLOOKUP('Weekly Feeding Schedule'!$C$64,'Data Sheet'!$A$8:$AX$155,C25,FALSE)))+(('Weekly Feeding Schedule'!$F$65/100)*(VLOOKUP('Weekly Feeding Schedule'!$C$65,'Data Sheet'!$A$8:$AX$155,C25,FALSE)))+(('Weekly Feeding Schedule'!$F$69/100)*(VLOOKUP('Weekly Feeding Schedule'!$C$69,'Data Sheet'!$A$8:$AX$155,C25,FALSE)))+(('Weekly Feeding Schedule'!$F$70/100)*(VLOOKUP('Weekly Feeding Schedule'!$C$70,'Data Sheet'!$A$8:$AX$155,C25,FALSE)))</f>
        <v>#N/A</v>
      </c>
      <c r="O25" s="215" t="str">
        <f t="shared" si="15"/>
        <v>g</v>
      </c>
      <c r="P25" s="214" t="str">
        <f>SUM(('Weekly Feeding Schedule'!$F$75/100)*(VLOOKUP('Weekly Feeding Schedule'!$C$75,'Data Sheet'!$A$8:$AX$155,C25,FALSE)))+(('Weekly Feeding Schedule'!$F$76/100)*(VLOOKUP('Weekly Feeding Schedule'!$C$76,'Data Sheet'!$A$8:$AX$155,C25,FALSE)))+(('Weekly Feeding Schedule'!$F$80/100)*(VLOOKUP('Weekly Feeding Schedule'!$C$80,'Data Sheet'!$A$8:$AX$155,C25,FALSE)))+(('Weekly Feeding Schedule'!$F$81/100)*(VLOOKUP('Weekly Feeding Schedule'!$C$81,'Data Sheet'!$A$8:$AX$155,C25,FALSE)))</f>
        <v>#N/A</v>
      </c>
      <c r="Q25" s="216" t="str">
        <f t="shared" si="16"/>
        <v>g</v>
      </c>
      <c r="R25" s="217" t="str">
        <f t="shared" si="17"/>
        <v>#N/A</v>
      </c>
      <c r="S25" s="218" t="str">
        <f t="shared" si="18"/>
        <v>g</v>
      </c>
      <c r="T25" s="234">
        <f>SUM((0/1000)*V4)</f>
        <v>0</v>
      </c>
      <c r="U25" s="235" t="str">
        <f t="shared" si="19"/>
        <v>g</v>
      </c>
      <c r="V25" s="234">
        <f>SUM((0/1000)*V4)</f>
        <v>0</v>
      </c>
      <c r="W25" s="234" t="str">
        <f t="shared" si="20"/>
        <v>g</v>
      </c>
    </row>
    <row r="26" ht="15.75" customHeight="1">
      <c r="A26" s="222" t="s">
        <v>85</v>
      </c>
      <c r="B26" s="222"/>
      <c r="C26" s="223">
        <f>'Data Sheet'!Z6</f>
        <v>26</v>
      </c>
      <c r="D26" s="224" t="str">
        <f>SUM(('Weekly Feeding Schedule'!$F$9/100)*(VLOOKUP('Weekly Feeding Schedule'!$C$9,'Data Sheet'!$A$8:$AX$155,C26,FALSE)))+(('Weekly Feeding Schedule'!$F$10/100)*(VLOOKUP('Weekly Feeding Schedule'!$C$10,'Data Sheet'!$A$8:$AX$155,C26,FALSE)))+(('Weekly Feeding Schedule'!$F$14/100)*(VLOOKUP('Weekly Feeding Schedule'!$C$14,'Data Sheet'!$A$8:$AX$155,C26,FALSE)))+(('Weekly Feeding Schedule'!$F$15/100)*(VLOOKUP('Weekly Feeding Schedule'!$C$15,'Data Sheet'!$A$8:$AX$155,C26,FALSE)))</f>
        <v>#N/A</v>
      </c>
      <c r="E26" s="255" t="s">
        <v>68</v>
      </c>
      <c r="F26" s="224" t="str">
        <f>SUM(('Weekly Feeding Schedule'!$F$20/100)*(VLOOKUP('Weekly Feeding Schedule'!$C$20,'Data Sheet'!$A$8:$AX$155,C26,FALSE)))+(('Weekly Feeding Schedule'!$F$21/100)*(VLOOKUP('Weekly Feeding Schedule'!$C$21,'Data Sheet'!$A$8:$AX$155,C26,FALSE)))+(('Weekly Feeding Schedule'!$F$25/100)*(VLOOKUP('Weekly Feeding Schedule'!$C$25,'Data Sheet'!$A$8:$AX$155,C26,FALSE)))+(('Weekly Feeding Schedule'!$F$26/100)*(VLOOKUP('Weekly Feeding Schedule'!$C$26,'Data Sheet'!$A$8:$AX$155,C26,FALSE)))</f>
        <v>#N/A</v>
      </c>
      <c r="G26" s="225" t="str">
        <f t="shared" si="11"/>
        <v>g</v>
      </c>
      <c r="H26" s="224" t="str">
        <f>SUM(('Weekly Feeding Schedule'!$F$31/100)*(VLOOKUP('Weekly Feeding Schedule'!$C$31,'Data Sheet'!$A$8:$AX$155,C26,FALSE)))+(('Weekly Feeding Schedule'!$F$32/100)*(VLOOKUP('Weekly Feeding Schedule'!$C$32,'Data Sheet'!$A$8:$AX$155,C26,FALSE)))+(('Weekly Feeding Schedule'!$F$36/100)*(VLOOKUP('Weekly Feeding Schedule'!$C$36,'Data Sheet'!$A$8:$AX$155,C26,FALSE)))+(('Weekly Feeding Schedule'!$F$37/100)*(VLOOKUP('Weekly Feeding Schedule'!$C$37,'Data Sheet'!$A$8:$AX$155,C26,FALSE)))</f>
        <v>#N/A</v>
      </c>
      <c r="I26" s="225" t="str">
        <f t="shared" si="12"/>
        <v>g</v>
      </c>
      <c r="J26" s="224" t="str">
        <f>SUM(('Weekly Feeding Schedule'!$F$42/100)*(VLOOKUP('Weekly Feeding Schedule'!$C$42,'Data Sheet'!$A$8:$AX$155,C26,FALSE)))+(('Weekly Feeding Schedule'!$F$43/100)*(VLOOKUP('Weekly Feeding Schedule'!$C$43,'Data Sheet'!$A$8:$AX$155,C26,FALSE)))+(('Weekly Feeding Schedule'!$F$47/100)*(VLOOKUP('Weekly Feeding Schedule'!$C$47,'Data Sheet'!$A$8:$AX$155,C26,FALSE)))+(('Weekly Feeding Schedule'!$F$48/100)*(VLOOKUP('Weekly Feeding Schedule'!$C$48,'Data Sheet'!$A$8:$AX$155,C26,FALSE)))</f>
        <v>#N/A</v>
      </c>
      <c r="K26" s="225" t="str">
        <f t="shared" si="13"/>
        <v>g</v>
      </c>
      <c r="L26" s="224" t="str">
        <f>SUM(('Weekly Feeding Schedule'!$F$53/100)*(VLOOKUP('Weekly Feeding Schedule'!$C$53,'Data Sheet'!$A$8:$AX$155,C26,FALSE)))+(('Weekly Feeding Schedule'!$F$54/100)*(VLOOKUP('Weekly Feeding Schedule'!$C$54,'Data Sheet'!$A$8:$AX$155,C26,FALSE)))+(('Weekly Feeding Schedule'!$F$58/100)*(VLOOKUP('Weekly Feeding Schedule'!$C$58,'Data Sheet'!$A$8:$AX$155,C26,FALSE)))+(('Weekly Feeding Schedule'!$F$59/100)*(VLOOKUP('Weekly Feeding Schedule'!$C$59,'Data Sheet'!$A$8:$AX$155,C26,FALSE)))</f>
        <v>#N/A</v>
      </c>
      <c r="M26" s="225" t="str">
        <f t="shared" si="14"/>
        <v>g</v>
      </c>
      <c r="N26" s="224" t="str">
        <f>SUM(('Weekly Feeding Schedule'!$F$64/100)*(VLOOKUP('Weekly Feeding Schedule'!$C$64,'Data Sheet'!$A$8:$AX$155,C26,FALSE)))+(('Weekly Feeding Schedule'!$F$65/100)*(VLOOKUP('Weekly Feeding Schedule'!$C$65,'Data Sheet'!$A$8:$AX$155,C26,FALSE)))+(('Weekly Feeding Schedule'!$F$69/100)*(VLOOKUP('Weekly Feeding Schedule'!$C$69,'Data Sheet'!$A$8:$AX$155,C26,FALSE)))+(('Weekly Feeding Schedule'!$F$70/100)*(VLOOKUP('Weekly Feeding Schedule'!$C$70,'Data Sheet'!$A$8:$AX$155,C26,FALSE)))</f>
        <v>#N/A</v>
      </c>
      <c r="O26" s="225" t="str">
        <f t="shared" si="15"/>
        <v>g</v>
      </c>
      <c r="P26" s="224" t="str">
        <f>SUM(('Weekly Feeding Schedule'!$F$75/100)*(VLOOKUP('Weekly Feeding Schedule'!$C$75,'Data Sheet'!$A$8:$AX$155,C26,FALSE)))+(('Weekly Feeding Schedule'!$F$76/100)*(VLOOKUP('Weekly Feeding Schedule'!$C$76,'Data Sheet'!$A$8:$AX$155,C26,FALSE)))+(('Weekly Feeding Schedule'!$F$80/100)*(VLOOKUP('Weekly Feeding Schedule'!$C$80,'Data Sheet'!$A$8:$AX$155,C26,FALSE)))+(('Weekly Feeding Schedule'!$F$81/100)*(VLOOKUP('Weekly Feeding Schedule'!$C$81,'Data Sheet'!$A$8:$AX$155,C26,FALSE)))</f>
        <v>#N/A</v>
      </c>
      <c r="Q26" s="226" t="str">
        <f t="shared" si="16"/>
        <v>g</v>
      </c>
      <c r="R26" s="227" t="str">
        <f t="shared" si="17"/>
        <v>#N/A</v>
      </c>
      <c r="S26" s="228" t="str">
        <f t="shared" si="18"/>
        <v>g</v>
      </c>
      <c r="T26" s="229">
        <f>SUM((0/1000)*V4)</f>
        <v>0</v>
      </c>
      <c r="U26" s="230" t="str">
        <f t="shared" si="19"/>
        <v>g</v>
      </c>
      <c r="V26" s="229">
        <f>SUM((0/1000)*V4)</f>
        <v>0</v>
      </c>
      <c r="W26" s="229" t="str">
        <f t="shared" si="20"/>
        <v>g</v>
      </c>
    </row>
    <row r="27" ht="15.75" customHeight="1">
      <c r="A27" s="243" t="s">
        <v>86</v>
      </c>
      <c r="B27" s="243"/>
      <c r="C27" s="244">
        <f>'Data Sheet'!AA6</f>
        <v>27</v>
      </c>
      <c r="D27" s="214" t="str">
        <f>SUM(('Weekly Feeding Schedule'!$F$9/100)*(VLOOKUP('Weekly Feeding Schedule'!$C$9,'Data Sheet'!$A$8:$AX$155,C27,FALSE)))+(('Weekly Feeding Schedule'!$F$10/100)*(VLOOKUP('Weekly Feeding Schedule'!$C$10,'Data Sheet'!$A$8:$AX$155,C27,FALSE)))+(('Weekly Feeding Schedule'!$F$14/100)*(VLOOKUP('Weekly Feeding Schedule'!$C$14,'Data Sheet'!$A$8:$AX$155,C27,FALSE)))+(('Weekly Feeding Schedule'!$F$15/100)*(VLOOKUP('Weekly Feeding Schedule'!$C$15,'Data Sheet'!$A$8:$AX$155,C27,FALSE)))</f>
        <v>#N/A</v>
      </c>
      <c r="E27" s="257" t="s">
        <v>68</v>
      </c>
      <c r="F27" s="214" t="str">
        <f>SUM(('Weekly Feeding Schedule'!$F$20/100)*(VLOOKUP('Weekly Feeding Schedule'!$C$20,'Data Sheet'!$A$8:$AX$155,C27,FALSE)))+(('Weekly Feeding Schedule'!$F$21/100)*(VLOOKUP('Weekly Feeding Schedule'!$C$21,'Data Sheet'!$A$8:$AX$155,C27,FALSE)))+(('Weekly Feeding Schedule'!$F$25/100)*(VLOOKUP('Weekly Feeding Schedule'!$C$25,'Data Sheet'!$A$8:$AX$155,C27,FALSE)))+(('Weekly Feeding Schedule'!$F$26/100)*(VLOOKUP('Weekly Feeding Schedule'!$C$26,'Data Sheet'!$A$8:$AX$155,C27,FALSE)))</f>
        <v>#N/A</v>
      </c>
      <c r="G27" s="258" t="str">
        <f t="shared" si="11"/>
        <v>g</v>
      </c>
      <c r="H27" s="214" t="str">
        <f>SUM(('Weekly Feeding Schedule'!$F$31/100)*(VLOOKUP('Weekly Feeding Schedule'!$C$31,'Data Sheet'!$A$8:$AX$155,C27,FALSE)))+(('Weekly Feeding Schedule'!$F$32/100)*(VLOOKUP('Weekly Feeding Schedule'!$C$32,'Data Sheet'!$A$8:$AX$155,C27,FALSE)))+(('Weekly Feeding Schedule'!$F$36/100)*(VLOOKUP('Weekly Feeding Schedule'!$C$36,'Data Sheet'!$A$8:$AX$155,C27,FALSE)))+(('Weekly Feeding Schedule'!$F$37/100)*(VLOOKUP('Weekly Feeding Schedule'!$C$37,'Data Sheet'!$A$8:$AX$155,C27,FALSE)))</f>
        <v>#N/A</v>
      </c>
      <c r="I27" s="258" t="str">
        <f t="shared" si="12"/>
        <v>g</v>
      </c>
      <c r="J27" s="214" t="str">
        <f>SUM(('Weekly Feeding Schedule'!$F$42/100)*(VLOOKUP('Weekly Feeding Schedule'!$C$42,'Data Sheet'!$A$8:$AX$155,C27,FALSE)))+(('Weekly Feeding Schedule'!$F$43/100)*(VLOOKUP('Weekly Feeding Schedule'!$C$43,'Data Sheet'!$A$8:$AX$155,C27,FALSE)))+(('Weekly Feeding Schedule'!$F$47/100)*(VLOOKUP('Weekly Feeding Schedule'!$C$47,'Data Sheet'!$A$8:$AX$155,C27,FALSE)))+(('Weekly Feeding Schedule'!$F$48/100)*(VLOOKUP('Weekly Feeding Schedule'!$C$48,'Data Sheet'!$A$8:$AX$155,C27,FALSE)))</f>
        <v>#N/A</v>
      </c>
      <c r="K27" s="258" t="str">
        <f t="shared" si="13"/>
        <v>g</v>
      </c>
      <c r="L27" s="214" t="str">
        <f>SUM(('Weekly Feeding Schedule'!$F$53/100)*(VLOOKUP('Weekly Feeding Schedule'!$C$53,'Data Sheet'!$A$8:$AX$155,C27,FALSE)))+(('Weekly Feeding Schedule'!$F$54/100)*(VLOOKUP('Weekly Feeding Schedule'!$C$54,'Data Sheet'!$A$8:$AX$155,C27,FALSE)))+(('Weekly Feeding Schedule'!$F$58/100)*(VLOOKUP('Weekly Feeding Schedule'!$C$58,'Data Sheet'!$A$8:$AX$155,C27,FALSE)))+(('Weekly Feeding Schedule'!$F$59/100)*(VLOOKUP('Weekly Feeding Schedule'!$C$59,'Data Sheet'!$A$8:$AX$155,C27,FALSE)))</f>
        <v>#N/A</v>
      </c>
      <c r="M27" s="258" t="str">
        <f t="shared" si="14"/>
        <v>g</v>
      </c>
      <c r="N27" s="214" t="str">
        <f>SUM(('Weekly Feeding Schedule'!$F$64/100)*(VLOOKUP('Weekly Feeding Schedule'!$C$64,'Data Sheet'!$A$8:$AX$155,C27,FALSE)))+(('Weekly Feeding Schedule'!$F$65/100)*(VLOOKUP('Weekly Feeding Schedule'!$C$65,'Data Sheet'!$A$8:$AX$155,C27,FALSE)))+(('Weekly Feeding Schedule'!$F$69/100)*(VLOOKUP('Weekly Feeding Schedule'!$C$69,'Data Sheet'!$A$8:$AX$155,C27,FALSE)))+(('Weekly Feeding Schedule'!$F$70/100)*(VLOOKUP('Weekly Feeding Schedule'!$C$70,'Data Sheet'!$A$8:$AX$155,C27,FALSE)))</f>
        <v>#N/A</v>
      </c>
      <c r="O27" s="258" t="str">
        <f t="shared" si="15"/>
        <v>g</v>
      </c>
      <c r="P27" s="214" t="str">
        <f>SUM(('Weekly Feeding Schedule'!$F$75/100)*(VLOOKUP('Weekly Feeding Schedule'!$C$75,'Data Sheet'!$A$8:$AX$155,C27,FALSE)))+(('Weekly Feeding Schedule'!$F$76/100)*(VLOOKUP('Weekly Feeding Schedule'!$C$76,'Data Sheet'!$A$8:$AX$155,C27,FALSE)))+(('Weekly Feeding Schedule'!$F$80/100)*(VLOOKUP('Weekly Feeding Schedule'!$C$80,'Data Sheet'!$A$8:$AX$155,C27,FALSE)))+(('Weekly Feeding Schedule'!$F$81/100)*(VLOOKUP('Weekly Feeding Schedule'!$C$81,'Data Sheet'!$A$8:$AX$155,C27,FALSE)))</f>
        <v>#N/A</v>
      </c>
      <c r="Q27" s="259" t="str">
        <f t="shared" si="16"/>
        <v>g</v>
      </c>
      <c r="R27" s="245" t="str">
        <f t="shared" si="17"/>
        <v>#N/A</v>
      </c>
      <c r="S27" s="246" t="str">
        <f t="shared" si="18"/>
        <v>g</v>
      </c>
      <c r="T27" s="247">
        <f>SUM((0/1000)*V4)</f>
        <v>0</v>
      </c>
      <c r="U27" s="248" t="str">
        <f t="shared" si="19"/>
        <v>g</v>
      </c>
      <c r="V27" s="247">
        <f>SUM((0/1000)*V4)</f>
        <v>0</v>
      </c>
      <c r="W27" s="247" t="str">
        <f t="shared" si="20"/>
        <v>g</v>
      </c>
    </row>
    <row r="28" ht="15.75" customHeight="1">
      <c r="A28" s="204" t="s">
        <v>87</v>
      </c>
      <c r="B28" s="130"/>
      <c r="C28" s="205"/>
      <c r="D28" s="250" t="str">
        <f>D22</f>
        <v>Sunday</v>
      </c>
      <c r="E28" s="205"/>
      <c r="F28" s="251" t="str">
        <f>F22</f>
        <v>Monday</v>
      </c>
      <c r="G28" s="205"/>
      <c r="H28" s="251" t="str">
        <f>H22</f>
        <v>Tuesday</v>
      </c>
      <c r="I28" s="205"/>
      <c r="J28" s="251" t="str">
        <f>J22</f>
        <v>Wednesday</v>
      </c>
      <c r="K28" s="205"/>
      <c r="L28" s="251" t="str">
        <f>L22</f>
        <v>Thursday</v>
      </c>
      <c r="M28" s="205"/>
      <c r="N28" s="251" t="str">
        <f>N22</f>
        <v>Friday</v>
      </c>
      <c r="O28" s="205"/>
      <c r="P28" s="251" t="str">
        <f>P22</f>
        <v>Saturday</v>
      </c>
      <c r="Q28" s="205"/>
      <c r="R28" s="252" t="str">
        <f>$R$6</f>
        <v>Average</v>
      </c>
      <c r="S28" s="108"/>
      <c r="T28" s="253" t="str">
        <f>T22</f>
        <v>AAFCO 2020 Adult Minimums</v>
      </c>
      <c r="U28" s="254"/>
      <c r="V28" s="253" t="str">
        <f>V22</f>
        <v>AAFCO 2020 Growth &amp; Reproduction Minimums</v>
      </c>
      <c r="W28" s="210"/>
    </row>
    <row r="29" ht="15.75" customHeight="1">
      <c r="A29" s="212" t="s">
        <v>88</v>
      </c>
      <c r="B29" s="212"/>
      <c r="C29" s="213">
        <f>'Data Sheet'!AN6</f>
        <v>40</v>
      </c>
      <c r="D29" s="214" t="str">
        <f>SUM(('Weekly Feeding Schedule'!$F$9/100)*(VLOOKUP('Weekly Feeding Schedule'!$C$9,'Data Sheet'!$A$8:$AX$155,C29,FALSE)))+(('Weekly Feeding Schedule'!$F$10/100)*(VLOOKUP('Weekly Feeding Schedule'!$C$10,'Data Sheet'!$A$8:$AX$155,C29,FALSE)))+(('Weekly Feeding Schedule'!$F$14/100)*(VLOOKUP('Weekly Feeding Schedule'!$C$14,'Data Sheet'!$A$8:$AX$155,C29,FALSE)))+(('Weekly Feeding Schedule'!$F$15/100)*(VLOOKUP('Weekly Feeding Schedule'!$C$15,'Data Sheet'!$A$8:$AX$155,C29,FALSE)))</f>
        <v>#N/A</v>
      </c>
      <c r="E29" s="215" t="s">
        <v>89</v>
      </c>
      <c r="F29" s="214" t="str">
        <f>SUM(('Weekly Feeding Schedule'!$F$20/100)*(VLOOKUP('Weekly Feeding Schedule'!$C$20,'Data Sheet'!$A$8:$AX$155,C29,FALSE)))+(('Weekly Feeding Schedule'!$F$21/100)*(VLOOKUP('Weekly Feeding Schedule'!$C$21,'Data Sheet'!$A$8:$AX$155,C29,FALSE)))+(('Weekly Feeding Schedule'!$F$25/100)*(VLOOKUP('Weekly Feeding Schedule'!$C$25,'Data Sheet'!$A$8:$AX$155,C29,FALSE)))+(('Weekly Feeding Schedule'!$F$26/100)*(VLOOKUP('Weekly Feeding Schedule'!$C$26,'Data Sheet'!$A$8:$AX$155,C29,FALSE)))</f>
        <v>#N/A</v>
      </c>
      <c r="G29" s="215" t="str">
        <f t="shared" ref="G29:G39" si="21">E29</f>
        <v>mcg</v>
      </c>
      <c r="H29" s="214" t="str">
        <f>SUM(('Weekly Feeding Schedule'!$F$31/100)*(VLOOKUP('Weekly Feeding Schedule'!$C$31,'Data Sheet'!$A$8:$AX$155,C29,FALSE)))+(('Weekly Feeding Schedule'!$F$32/100)*(VLOOKUP('Weekly Feeding Schedule'!$C$32,'Data Sheet'!$A$8:$AX$155,C29,FALSE)))+(('Weekly Feeding Schedule'!$F$36/100)*(VLOOKUP('Weekly Feeding Schedule'!$C$36,'Data Sheet'!$A$8:$AX$155,C29,FALSE)))+(('Weekly Feeding Schedule'!$F$37/100)*(VLOOKUP('Weekly Feeding Schedule'!$C$37,'Data Sheet'!$A$8:$AX$155,C29,FALSE)))</f>
        <v>#N/A</v>
      </c>
      <c r="I29" s="215" t="str">
        <f t="shared" ref="I29:I39" si="22">E29</f>
        <v>mcg</v>
      </c>
      <c r="J29" s="214" t="str">
        <f>SUM(('Weekly Feeding Schedule'!$F$42/100)*(VLOOKUP('Weekly Feeding Schedule'!$C$42,'Data Sheet'!$A$8:$AX$155,C29,FALSE)))+(('Weekly Feeding Schedule'!$F$43/100)*(VLOOKUP('Weekly Feeding Schedule'!$C$43,'Data Sheet'!$A$8:$AX$155,C29,FALSE)))+(('Weekly Feeding Schedule'!$F$47/100)*(VLOOKUP('Weekly Feeding Schedule'!$C$47,'Data Sheet'!$A$8:$AX$155,C29,FALSE)))+(('Weekly Feeding Schedule'!$F$48/100)*(VLOOKUP('Weekly Feeding Schedule'!$C$48,'Data Sheet'!$A$8:$AX$155,C29,FALSE)))</f>
        <v>#N/A</v>
      </c>
      <c r="K29" s="215" t="str">
        <f t="shared" ref="K29:K39" si="23">E29</f>
        <v>mcg</v>
      </c>
      <c r="L29" s="214" t="str">
        <f>SUM(('Weekly Feeding Schedule'!$F$53/100)*(VLOOKUP('Weekly Feeding Schedule'!$C$53,'Data Sheet'!$A$8:$AX$155,C29,FALSE)))+(('Weekly Feeding Schedule'!$F$54/100)*(VLOOKUP('Weekly Feeding Schedule'!$C$54,'Data Sheet'!$A$8:$AX$155,C29,FALSE)))+(('Weekly Feeding Schedule'!$F$58/100)*(VLOOKUP('Weekly Feeding Schedule'!$C$58,'Data Sheet'!$A$8:$AX$155,C29,FALSE)))+(('Weekly Feeding Schedule'!$F$59/100)*(VLOOKUP('Weekly Feeding Schedule'!$C$59,'Data Sheet'!$A$8:$AX$155,C29,FALSE)))</f>
        <v>#N/A</v>
      </c>
      <c r="M29" s="215" t="str">
        <f t="shared" ref="M29:M39" si="24">E29</f>
        <v>mcg</v>
      </c>
      <c r="N29" s="214" t="str">
        <f>SUM(('Weekly Feeding Schedule'!$F$64/100)*(VLOOKUP('Weekly Feeding Schedule'!$C$64,'Data Sheet'!$A$8:$AX$155,C29,FALSE)))+(('Weekly Feeding Schedule'!$F$65/100)*(VLOOKUP('Weekly Feeding Schedule'!$C$65,'Data Sheet'!$A$8:$AX$155,C29,FALSE)))+(('Weekly Feeding Schedule'!$F$69/100)*(VLOOKUP('Weekly Feeding Schedule'!$C$69,'Data Sheet'!$A$8:$AX$155,C29,FALSE)))+(('Weekly Feeding Schedule'!$F$70/100)*(VLOOKUP('Weekly Feeding Schedule'!$C$70,'Data Sheet'!$A$8:$AX$155,C29,FALSE)))</f>
        <v>#N/A</v>
      </c>
      <c r="O29" s="215" t="str">
        <f t="shared" ref="O29:O39" si="25">E29</f>
        <v>mcg</v>
      </c>
      <c r="P29" s="214" t="str">
        <f>SUM(('Weekly Feeding Schedule'!$F$75/100)*(VLOOKUP('Weekly Feeding Schedule'!$C$75,'Data Sheet'!$A$8:$AX$155,C29,FALSE)))+(('Weekly Feeding Schedule'!$F$76/100)*(VLOOKUP('Weekly Feeding Schedule'!$C$76,'Data Sheet'!$A$8:$AX$155,C29,FALSE)))+(('Weekly Feeding Schedule'!$F$80/100)*(VLOOKUP('Weekly Feeding Schedule'!$C$80,'Data Sheet'!$A$8:$AX$155,C29,FALSE)))+(('Weekly Feeding Schedule'!$F$81/100)*(VLOOKUP('Weekly Feeding Schedule'!$C$81,'Data Sheet'!$A$8:$AX$155,C29,FALSE)))</f>
        <v>#N/A</v>
      </c>
      <c r="Q29" s="216" t="str">
        <f t="shared" ref="Q29:Q39" si="26">E29</f>
        <v>mcg</v>
      </c>
      <c r="R29" s="217" t="str">
        <f t="shared" ref="R29:R39" si="27">SUM(D29+F29+H29+J29+L29+N29+P29)/7</f>
        <v>#N/A</v>
      </c>
      <c r="S29" s="218" t="str">
        <f t="shared" ref="S29:S39" si="28">E29</f>
        <v>mcg</v>
      </c>
      <c r="T29" s="219">
        <f>SUM(((1250/3.3333)/1000)*V4)</f>
        <v>0</v>
      </c>
      <c r="U29" s="220" t="str">
        <f t="shared" ref="U29:U39" si="29">E29</f>
        <v>mcg</v>
      </c>
      <c r="V29" s="219">
        <f>SUM(((1250/3.3333)/1000)*V4)</f>
        <v>0</v>
      </c>
      <c r="W29" s="219" t="str">
        <f t="shared" ref="W29:W39" si="30">U29</f>
        <v>mcg</v>
      </c>
    </row>
    <row r="30" ht="15.75" customHeight="1">
      <c r="A30" s="222" t="s">
        <v>90</v>
      </c>
      <c r="B30" s="222"/>
      <c r="C30" s="223">
        <f>'Data Sheet'!AO6</f>
        <v>41</v>
      </c>
      <c r="D30" s="224" t="str">
        <f>SUM(('Weekly Feeding Schedule'!$F$9/100)*(VLOOKUP('Weekly Feeding Schedule'!$C$9,'Data Sheet'!$A$8:$AX$155,C30,FALSE)))+(('Weekly Feeding Schedule'!$F$10/100)*(VLOOKUP('Weekly Feeding Schedule'!$C$10,'Data Sheet'!$A$8:$AX$155,C30,FALSE)))+(('Weekly Feeding Schedule'!$F$14/100)*(VLOOKUP('Weekly Feeding Schedule'!$C$14,'Data Sheet'!$A$8:$AX$155,C30,FALSE)))+(('Weekly Feeding Schedule'!$F$15/100)*(VLOOKUP('Weekly Feeding Schedule'!$C$15,'Data Sheet'!$A$8:$AX$155,C30,FALSE)))</f>
        <v>#N/A</v>
      </c>
      <c r="E30" s="255" t="s">
        <v>89</v>
      </c>
      <c r="F30" s="224" t="str">
        <f>SUM(('Weekly Feeding Schedule'!$F$20/100)*(VLOOKUP('Weekly Feeding Schedule'!$C$20,'Data Sheet'!$A$8:$AX$155,C30,FALSE)))+(('Weekly Feeding Schedule'!$F$21/100)*(VLOOKUP('Weekly Feeding Schedule'!$C$21,'Data Sheet'!$A$8:$AX$155,C30,FALSE)))+(('Weekly Feeding Schedule'!$F$25/100)*(VLOOKUP('Weekly Feeding Schedule'!$C$25,'Data Sheet'!$A$8:$AX$155,C30,FALSE)))+(('Weekly Feeding Schedule'!$F$26/100)*(VLOOKUP('Weekly Feeding Schedule'!$C$26,'Data Sheet'!$A$8:$AX$155,C30,FALSE)))</f>
        <v>#N/A</v>
      </c>
      <c r="G30" s="225" t="str">
        <f t="shared" si="21"/>
        <v>mcg</v>
      </c>
      <c r="H30" s="224" t="str">
        <f>SUM(('Weekly Feeding Schedule'!$F$31/100)*(VLOOKUP('Weekly Feeding Schedule'!$C$31,'Data Sheet'!$A$8:$AX$155,C30,FALSE)))+(('Weekly Feeding Schedule'!$F$32/100)*(VLOOKUP('Weekly Feeding Schedule'!$C$32,'Data Sheet'!$A$8:$AX$155,C30,FALSE)))+(('Weekly Feeding Schedule'!$F$36/100)*(VLOOKUP('Weekly Feeding Schedule'!$C$36,'Data Sheet'!$A$8:$AX$155,C30,FALSE)))+(('Weekly Feeding Schedule'!$F$37/100)*(VLOOKUP('Weekly Feeding Schedule'!$C$37,'Data Sheet'!$A$8:$AX$155,C30,FALSE)))</f>
        <v>#N/A</v>
      </c>
      <c r="I30" s="225" t="str">
        <f t="shared" si="22"/>
        <v>mcg</v>
      </c>
      <c r="J30" s="224" t="str">
        <f>SUM(('Weekly Feeding Schedule'!$F$42/100)*(VLOOKUP('Weekly Feeding Schedule'!$C$42,'Data Sheet'!$A$8:$AX$155,C30,FALSE)))+(('Weekly Feeding Schedule'!$F$43/100)*(VLOOKUP('Weekly Feeding Schedule'!$C$43,'Data Sheet'!$A$8:$AX$155,C30,FALSE)))+(('Weekly Feeding Schedule'!$F$47/100)*(VLOOKUP('Weekly Feeding Schedule'!$C$47,'Data Sheet'!$A$8:$AX$155,C30,FALSE)))+(('Weekly Feeding Schedule'!$F$48/100)*(VLOOKUP('Weekly Feeding Schedule'!$C$48,'Data Sheet'!$A$8:$AX$155,C30,FALSE)))</f>
        <v>#N/A</v>
      </c>
      <c r="K30" s="225" t="str">
        <f t="shared" si="23"/>
        <v>mcg</v>
      </c>
      <c r="L30" s="224" t="str">
        <f>SUM(('Weekly Feeding Schedule'!$F$53/100)*(VLOOKUP('Weekly Feeding Schedule'!$C$53,'Data Sheet'!$A$8:$AX$155,C30,FALSE)))+(('Weekly Feeding Schedule'!$F$54/100)*(VLOOKUP('Weekly Feeding Schedule'!$C$54,'Data Sheet'!$A$8:$AX$155,C30,FALSE)))+(('Weekly Feeding Schedule'!$F$58/100)*(VLOOKUP('Weekly Feeding Schedule'!$C$58,'Data Sheet'!$A$8:$AX$155,C30,FALSE)))+(('Weekly Feeding Schedule'!$F$59/100)*(VLOOKUP('Weekly Feeding Schedule'!$C$59,'Data Sheet'!$A$8:$AX$155,C30,FALSE)))</f>
        <v>#N/A</v>
      </c>
      <c r="M30" s="225" t="str">
        <f t="shared" si="24"/>
        <v>mcg</v>
      </c>
      <c r="N30" s="224" t="str">
        <f>SUM(('Weekly Feeding Schedule'!$F$64/100)*(VLOOKUP('Weekly Feeding Schedule'!$C$64,'Data Sheet'!$A$8:$AX$155,C30,FALSE)))+(('Weekly Feeding Schedule'!$F$65/100)*(VLOOKUP('Weekly Feeding Schedule'!$C$65,'Data Sheet'!$A$8:$AX$155,C30,FALSE)))+(('Weekly Feeding Schedule'!$F$69/100)*(VLOOKUP('Weekly Feeding Schedule'!$C$69,'Data Sheet'!$A$8:$AX$155,C30,FALSE)))+(('Weekly Feeding Schedule'!$F$70/100)*(VLOOKUP('Weekly Feeding Schedule'!$C$70,'Data Sheet'!$A$8:$AX$155,C30,FALSE)))</f>
        <v>#N/A</v>
      </c>
      <c r="O30" s="225" t="str">
        <f t="shared" si="25"/>
        <v>mcg</v>
      </c>
      <c r="P30" s="224" t="str">
        <f>SUM(('Weekly Feeding Schedule'!$F$75/100)*(VLOOKUP('Weekly Feeding Schedule'!$C$75,'Data Sheet'!$A$8:$AX$155,C30,FALSE)))+(('Weekly Feeding Schedule'!$F$76/100)*(VLOOKUP('Weekly Feeding Schedule'!$C$76,'Data Sheet'!$A$8:$AX$155,C30,FALSE)))+(('Weekly Feeding Schedule'!$F$80/100)*(VLOOKUP('Weekly Feeding Schedule'!$C$80,'Data Sheet'!$A$8:$AX$155,C30,FALSE)))+(('Weekly Feeding Schedule'!$F$81/100)*(VLOOKUP('Weekly Feeding Schedule'!$C$81,'Data Sheet'!$A$8:$AX$155,C30,FALSE)))</f>
        <v>#N/A</v>
      </c>
      <c r="Q30" s="226" t="str">
        <f t="shared" si="26"/>
        <v>mcg</v>
      </c>
      <c r="R30" s="227" t="str">
        <f t="shared" si="27"/>
        <v>#N/A</v>
      </c>
      <c r="S30" s="228" t="str">
        <f t="shared" si="28"/>
        <v>mcg</v>
      </c>
      <c r="T30" s="229">
        <f>SUM(((125/40)/1000)*V4)</f>
        <v>0</v>
      </c>
      <c r="U30" s="230" t="str">
        <f t="shared" si="29"/>
        <v>mcg</v>
      </c>
      <c r="V30" s="229">
        <f>SUM(((125/40)/1000)*V4)</f>
        <v>0</v>
      </c>
      <c r="W30" s="229" t="str">
        <f t="shared" si="30"/>
        <v>mcg</v>
      </c>
    </row>
    <row r="31" ht="15.75" customHeight="1">
      <c r="A31" s="232" t="s">
        <v>91</v>
      </c>
      <c r="B31" s="232"/>
      <c r="C31" s="233">
        <f>'Data Sheet'!AP6</f>
        <v>42</v>
      </c>
      <c r="D31" s="214" t="str">
        <f>SUM(('Weekly Feeding Schedule'!$F$9/100)*(VLOOKUP('Weekly Feeding Schedule'!$C$9,'Data Sheet'!$A$8:$AX$155,C31,FALSE)))+(('Weekly Feeding Schedule'!$F$10/100)*(VLOOKUP('Weekly Feeding Schedule'!$C$10,'Data Sheet'!$A$8:$AX$155,C31,FALSE)))+(('Weekly Feeding Schedule'!$F$14/100)*(VLOOKUP('Weekly Feeding Schedule'!$C$14,'Data Sheet'!$A$8:$AX$155,C31,FALSE)))+(('Weekly Feeding Schedule'!$F$15/100)*(VLOOKUP('Weekly Feeding Schedule'!$C$15,'Data Sheet'!$A$8:$AX$155,C31,FALSE)))</f>
        <v>#N/A</v>
      </c>
      <c r="E31" s="256" t="s">
        <v>92</v>
      </c>
      <c r="F31" s="214" t="str">
        <f>SUM(('Weekly Feeding Schedule'!$F$20/100)*(VLOOKUP('Weekly Feeding Schedule'!$C$20,'Data Sheet'!$A$8:$AX$155,C31,FALSE)))+(('Weekly Feeding Schedule'!$F$21/100)*(VLOOKUP('Weekly Feeding Schedule'!$C$21,'Data Sheet'!$A$8:$AX$155,C31,FALSE)))+(('Weekly Feeding Schedule'!$F$25/100)*(VLOOKUP('Weekly Feeding Schedule'!$C$25,'Data Sheet'!$A$8:$AX$155,C31,FALSE)))+(('Weekly Feeding Schedule'!$F$26/100)*(VLOOKUP('Weekly Feeding Schedule'!$C$26,'Data Sheet'!$A$8:$AX$155,C31,FALSE)))</f>
        <v>#N/A</v>
      </c>
      <c r="G31" s="215" t="str">
        <f t="shared" si="21"/>
        <v>mg</v>
      </c>
      <c r="H31" s="214" t="str">
        <f>SUM(('Weekly Feeding Schedule'!$F$31/100)*(VLOOKUP('Weekly Feeding Schedule'!$C$31,'Data Sheet'!$A$8:$AX$155,C31,FALSE)))+(('Weekly Feeding Schedule'!$F$32/100)*(VLOOKUP('Weekly Feeding Schedule'!$C$32,'Data Sheet'!$A$8:$AX$155,C31,FALSE)))+(('Weekly Feeding Schedule'!$F$36/100)*(VLOOKUP('Weekly Feeding Schedule'!$C$36,'Data Sheet'!$A$8:$AX$155,C31,FALSE)))+(('Weekly Feeding Schedule'!$F$37/100)*(VLOOKUP('Weekly Feeding Schedule'!$C$37,'Data Sheet'!$A$8:$AX$155,C31,FALSE)))</f>
        <v>#N/A</v>
      </c>
      <c r="I31" s="215" t="str">
        <f t="shared" si="22"/>
        <v>mg</v>
      </c>
      <c r="J31" s="214" t="str">
        <f>SUM(('Weekly Feeding Schedule'!$F$42/100)*(VLOOKUP('Weekly Feeding Schedule'!$C$42,'Data Sheet'!$A$8:$AX$155,C31,FALSE)))+(('Weekly Feeding Schedule'!$F$43/100)*(VLOOKUP('Weekly Feeding Schedule'!$C$43,'Data Sheet'!$A$8:$AX$155,C31,FALSE)))+(('Weekly Feeding Schedule'!$F$47/100)*(VLOOKUP('Weekly Feeding Schedule'!$C$47,'Data Sheet'!$A$8:$AX$155,C31,FALSE)))+(('Weekly Feeding Schedule'!$F$48/100)*(VLOOKUP('Weekly Feeding Schedule'!$C$48,'Data Sheet'!$A$8:$AX$155,C31,FALSE)))</f>
        <v>#N/A</v>
      </c>
      <c r="K31" s="215" t="str">
        <f t="shared" si="23"/>
        <v>mg</v>
      </c>
      <c r="L31" s="214" t="str">
        <f>SUM(('Weekly Feeding Schedule'!$F$53/100)*(VLOOKUP('Weekly Feeding Schedule'!$C$53,'Data Sheet'!$A$8:$AX$155,C31,FALSE)))+(('Weekly Feeding Schedule'!$F$54/100)*(VLOOKUP('Weekly Feeding Schedule'!$C$54,'Data Sheet'!$A$8:$AX$155,C31,FALSE)))+(('Weekly Feeding Schedule'!$F$58/100)*(VLOOKUP('Weekly Feeding Schedule'!$C$58,'Data Sheet'!$A$8:$AX$155,C31,FALSE)))+(('Weekly Feeding Schedule'!$F$59/100)*(VLOOKUP('Weekly Feeding Schedule'!$C$59,'Data Sheet'!$A$8:$AX$155,C31,FALSE)))</f>
        <v>#N/A</v>
      </c>
      <c r="M31" s="215" t="str">
        <f t="shared" si="24"/>
        <v>mg</v>
      </c>
      <c r="N31" s="214" t="str">
        <f>SUM(('Weekly Feeding Schedule'!$F$64/100)*(VLOOKUP('Weekly Feeding Schedule'!$C$64,'Data Sheet'!$A$8:$AX$155,C31,FALSE)))+(('Weekly Feeding Schedule'!$F$65/100)*(VLOOKUP('Weekly Feeding Schedule'!$C$65,'Data Sheet'!$A$8:$AX$155,C31,FALSE)))+(('Weekly Feeding Schedule'!$F$69/100)*(VLOOKUP('Weekly Feeding Schedule'!$C$69,'Data Sheet'!$A$8:$AX$155,C31,FALSE)))+(('Weekly Feeding Schedule'!$F$70/100)*(VLOOKUP('Weekly Feeding Schedule'!$C$70,'Data Sheet'!$A$8:$AX$155,C31,FALSE)))</f>
        <v>#N/A</v>
      </c>
      <c r="O31" s="215" t="str">
        <f t="shared" si="25"/>
        <v>mg</v>
      </c>
      <c r="P31" s="214" t="str">
        <f>SUM(('Weekly Feeding Schedule'!$F$75/100)*(VLOOKUP('Weekly Feeding Schedule'!$C$75,'Data Sheet'!$A$8:$AX$155,C31,FALSE)))+(('Weekly Feeding Schedule'!$F$76/100)*(VLOOKUP('Weekly Feeding Schedule'!$C$76,'Data Sheet'!$A$8:$AX$155,C31,FALSE)))+(('Weekly Feeding Schedule'!$F$80/100)*(VLOOKUP('Weekly Feeding Schedule'!$C$80,'Data Sheet'!$A$8:$AX$155,C31,FALSE)))+(('Weekly Feeding Schedule'!$F$81/100)*(VLOOKUP('Weekly Feeding Schedule'!$C$81,'Data Sheet'!$A$8:$AX$155,C31,FALSE)))</f>
        <v>#N/A</v>
      </c>
      <c r="Q31" s="216" t="str">
        <f t="shared" si="26"/>
        <v>mg</v>
      </c>
      <c r="R31" s="217" t="str">
        <f t="shared" si="27"/>
        <v>#N/A</v>
      </c>
      <c r="S31" s="218" t="str">
        <f t="shared" si="28"/>
        <v>mg</v>
      </c>
      <c r="T31" s="234">
        <f>SUM(((12.5/1.4925)/1000)*V4)</f>
        <v>0</v>
      </c>
      <c r="U31" s="235" t="str">
        <f t="shared" si="29"/>
        <v>mg</v>
      </c>
      <c r="V31" s="234">
        <f>SUM(((12.5/1.4925)/1000)*V4)</f>
        <v>0</v>
      </c>
      <c r="W31" s="234" t="str">
        <f t="shared" si="30"/>
        <v>mg</v>
      </c>
    </row>
    <row r="32" ht="15.75" customHeight="1">
      <c r="A32" s="222" t="s">
        <v>93</v>
      </c>
      <c r="B32" s="222"/>
      <c r="C32" s="223">
        <f>'Data Sheet'!AQ6</f>
        <v>43</v>
      </c>
      <c r="D32" s="224" t="str">
        <f>SUM(('Weekly Feeding Schedule'!$F$9/100)*(VLOOKUP('Weekly Feeding Schedule'!$C$9,'Data Sheet'!$A$8:$AX$155,C32,FALSE)))+(('Weekly Feeding Schedule'!$F$10/100)*(VLOOKUP('Weekly Feeding Schedule'!$C$10,'Data Sheet'!$A$8:$AX$155,C32,FALSE)))+(('Weekly Feeding Schedule'!$F$14/100)*(VLOOKUP('Weekly Feeding Schedule'!$C$14,'Data Sheet'!$A$8:$AX$155,C32,FALSE)))+(('Weekly Feeding Schedule'!$F$15/100)*(VLOOKUP('Weekly Feeding Schedule'!$C$15,'Data Sheet'!$A$8:$AX$155,C32,FALSE)))</f>
        <v>#N/A</v>
      </c>
      <c r="E32" s="255" t="s">
        <v>92</v>
      </c>
      <c r="F32" s="224" t="str">
        <f>SUM(('Weekly Feeding Schedule'!$F$20/100)*(VLOOKUP('Weekly Feeding Schedule'!$C$20,'Data Sheet'!$A$8:$AX$155,C32,FALSE)))+(('Weekly Feeding Schedule'!$F$21/100)*(VLOOKUP('Weekly Feeding Schedule'!$C$21,'Data Sheet'!$A$8:$AX$155,C32,FALSE)))+(('Weekly Feeding Schedule'!$F$25/100)*(VLOOKUP('Weekly Feeding Schedule'!$C$25,'Data Sheet'!$A$8:$AX$155,C32,FALSE)))+(('Weekly Feeding Schedule'!$F$26/100)*(VLOOKUP('Weekly Feeding Schedule'!$C$26,'Data Sheet'!$A$8:$AX$155,C32,FALSE)))</f>
        <v>#N/A</v>
      </c>
      <c r="G32" s="225" t="str">
        <f t="shared" si="21"/>
        <v>mg</v>
      </c>
      <c r="H32" s="224" t="str">
        <f>SUM(('Weekly Feeding Schedule'!$F$31/100)*(VLOOKUP('Weekly Feeding Schedule'!$C$31,'Data Sheet'!$A$8:$AX$155,C32,FALSE)))+(('Weekly Feeding Schedule'!$F$32/100)*(VLOOKUP('Weekly Feeding Schedule'!$C$32,'Data Sheet'!$A$8:$AX$155,C32,FALSE)))+(('Weekly Feeding Schedule'!$F$36/100)*(VLOOKUP('Weekly Feeding Schedule'!$C$36,'Data Sheet'!$A$8:$AX$155,C32,FALSE)))+(('Weekly Feeding Schedule'!$F$37/100)*(VLOOKUP('Weekly Feeding Schedule'!$C$37,'Data Sheet'!$A$8:$AX$155,C32,FALSE)))</f>
        <v>#N/A</v>
      </c>
      <c r="I32" s="225" t="str">
        <f t="shared" si="22"/>
        <v>mg</v>
      </c>
      <c r="J32" s="224" t="str">
        <f>SUM(('Weekly Feeding Schedule'!$F$42/100)*(VLOOKUP('Weekly Feeding Schedule'!$C$42,'Data Sheet'!$A$8:$AX$155,C32,FALSE)))+(('Weekly Feeding Schedule'!$F$43/100)*(VLOOKUP('Weekly Feeding Schedule'!$C$43,'Data Sheet'!$A$8:$AX$155,C32,FALSE)))+(('Weekly Feeding Schedule'!$F$47/100)*(VLOOKUP('Weekly Feeding Schedule'!$C$47,'Data Sheet'!$A$8:$AX$155,C32,FALSE)))+(('Weekly Feeding Schedule'!$F$48/100)*(VLOOKUP('Weekly Feeding Schedule'!$C$48,'Data Sheet'!$A$8:$AX$155,C32,FALSE)))</f>
        <v>#N/A</v>
      </c>
      <c r="K32" s="225" t="str">
        <f t="shared" si="23"/>
        <v>mg</v>
      </c>
      <c r="L32" s="224" t="str">
        <f>SUM(('Weekly Feeding Schedule'!$F$53/100)*(VLOOKUP('Weekly Feeding Schedule'!$C$53,'Data Sheet'!$A$8:$AX$155,C32,FALSE)))+(('Weekly Feeding Schedule'!$F$54/100)*(VLOOKUP('Weekly Feeding Schedule'!$C$54,'Data Sheet'!$A$8:$AX$155,C32,FALSE)))+(('Weekly Feeding Schedule'!$F$58/100)*(VLOOKUP('Weekly Feeding Schedule'!$C$58,'Data Sheet'!$A$8:$AX$155,C32,FALSE)))+(('Weekly Feeding Schedule'!$F$59/100)*(VLOOKUP('Weekly Feeding Schedule'!$C$59,'Data Sheet'!$A$8:$AX$155,C32,FALSE)))</f>
        <v>#N/A</v>
      </c>
      <c r="M32" s="225" t="str">
        <f t="shared" si="24"/>
        <v>mg</v>
      </c>
      <c r="N32" s="224" t="str">
        <f>SUM(('Weekly Feeding Schedule'!$F$64/100)*(VLOOKUP('Weekly Feeding Schedule'!$C$64,'Data Sheet'!$A$8:$AX$155,C32,FALSE)))+(('Weekly Feeding Schedule'!$F$65/100)*(VLOOKUP('Weekly Feeding Schedule'!$C$65,'Data Sheet'!$A$8:$AX$155,C32,FALSE)))+(('Weekly Feeding Schedule'!$F$69/100)*(VLOOKUP('Weekly Feeding Schedule'!$C$69,'Data Sheet'!$A$8:$AX$155,C32,FALSE)))+(('Weekly Feeding Schedule'!$F$70/100)*(VLOOKUP('Weekly Feeding Schedule'!$C$70,'Data Sheet'!$A$8:$AX$155,C32,FALSE)))</f>
        <v>#N/A</v>
      </c>
      <c r="O32" s="225" t="str">
        <f t="shared" si="25"/>
        <v>mg</v>
      </c>
      <c r="P32" s="224" t="str">
        <f>SUM(('Weekly Feeding Schedule'!$F$75/100)*(VLOOKUP('Weekly Feeding Schedule'!$C$75,'Data Sheet'!$A$8:$AX$155,C32,FALSE)))+(('Weekly Feeding Schedule'!$F$76/100)*(VLOOKUP('Weekly Feeding Schedule'!$C$76,'Data Sheet'!$A$8:$AX$155,C32,FALSE)))+(('Weekly Feeding Schedule'!$F$80/100)*(VLOOKUP('Weekly Feeding Schedule'!$C$80,'Data Sheet'!$A$8:$AX$155,C32,FALSE)))+(('Weekly Feeding Schedule'!$F$81/100)*(VLOOKUP('Weekly Feeding Schedule'!$C$81,'Data Sheet'!$A$8:$AX$155,C32,FALSE)))</f>
        <v>#N/A</v>
      </c>
      <c r="Q32" s="226" t="str">
        <f t="shared" si="26"/>
        <v>mg</v>
      </c>
      <c r="R32" s="227" t="str">
        <f t="shared" si="27"/>
        <v>#N/A</v>
      </c>
      <c r="S32" s="228" t="str">
        <f t="shared" si="28"/>
        <v>mg</v>
      </c>
      <c r="T32" s="229">
        <f>SUM((0.56/1000)*V4)</f>
        <v>0</v>
      </c>
      <c r="U32" s="230" t="str">
        <f t="shared" si="29"/>
        <v>mg</v>
      </c>
      <c r="V32" s="229">
        <f>SUM((0.56/1000)*V4)</f>
        <v>0</v>
      </c>
      <c r="W32" s="229" t="str">
        <f t="shared" si="30"/>
        <v>mg</v>
      </c>
    </row>
    <row r="33" ht="15.75" customHeight="1">
      <c r="A33" s="232" t="s">
        <v>94</v>
      </c>
      <c r="B33" s="232"/>
      <c r="C33" s="233">
        <f>'Data Sheet'!AR6</f>
        <v>44</v>
      </c>
      <c r="D33" s="214" t="str">
        <f>SUM(('Weekly Feeding Schedule'!$F$9/100)*(VLOOKUP('Weekly Feeding Schedule'!$C$9,'Data Sheet'!$A$8:$AX$155,C33,FALSE)))+(('Weekly Feeding Schedule'!$F$10/100)*(VLOOKUP('Weekly Feeding Schedule'!$C$10,'Data Sheet'!$A$8:$AX$155,C33,FALSE)))+(('Weekly Feeding Schedule'!$F$14/100)*(VLOOKUP('Weekly Feeding Schedule'!$C$14,'Data Sheet'!$A$8:$AX$155,C33,FALSE)))+(('Weekly Feeding Schedule'!$F$15/100)*(VLOOKUP('Weekly Feeding Schedule'!$C$15,'Data Sheet'!$A$8:$AX$155,C33,FALSE)))</f>
        <v>#N/A</v>
      </c>
      <c r="E33" s="256" t="s">
        <v>92</v>
      </c>
      <c r="F33" s="214" t="str">
        <f>SUM(('Weekly Feeding Schedule'!$F$20/100)*(VLOOKUP('Weekly Feeding Schedule'!$C$20,'Data Sheet'!$A$8:$AX$155,C33,FALSE)))+(('Weekly Feeding Schedule'!$F$21/100)*(VLOOKUP('Weekly Feeding Schedule'!$C$21,'Data Sheet'!$A$8:$AX$155,C33,FALSE)))+(('Weekly Feeding Schedule'!$F$25/100)*(VLOOKUP('Weekly Feeding Schedule'!$C$25,'Data Sheet'!$A$8:$AX$155,C33,FALSE)))+(('Weekly Feeding Schedule'!$F$26/100)*(VLOOKUP('Weekly Feeding Schedule'!$C$26,'Data Sheet'!$A$8:$AX$155,C33,FALSE)))</f>
        <v>#N/A</v>
      </c>
      <c r="G33" s="215" t="str">
        <f t="shared" si="21"/>
        <v>mg</v>
      </c>
      <c r="H33" s="214" t="str">
        <f>SUM(('Weekly Feeding Schedule'!$F$31/100)*(VLOOKUP('Weekly Feeding Schedule'!$C$31,'Data Sheet'!$A$8:$AX$155,C33,FALSE)))+(('Weekly Feeding Schedule'!$F$32/100)*(VLOOKUP('Weekly Feeding Schedule'!$C$32,'Data Sheet'!$A$8:$AX$155,C33,FALSE)))+(('Weekly Feeding Schedule'!$F$36/100)*(VLOOKUP('Weekly Feeding Schedule'!$C$36,'Data Sheet'!$A$8:$AX$155,C33,FALSE)))+(('Weekly Feeding Schedule'!$F$37/100)*(VLOOKUP('Weekly Feeding Schedule'!$C$37,'Data Sheet'!$A$8:$AX$155,C33,FALSE)))</f>
        <v>#N/A</v>
      </c>
      <c r="I33" s="215" t="str">
        <f t="shared" si="22"/>
        <v>mg</v>
      </c>
      <c r="J33" s="214" t="str">
        <f>SUM(('Weekly Feeding Schedule'!$F$42/100)*(VLOOKUP('Weekly Feeding Schedule'!$C$42,'Data Sheet'!$A$8:$AX$155,C33,FALSE)))+(('Weekly Feeding Schedule'!$F$43/100)*(VLOOKUP('Weekly Feeding Schedule'!$C$43,'Data Sheet'!$A$8:$AX$155,C33,FALSE)))+(('Weekly Feeding Schedule'!$F$47/100)*(VLOOKUP('Weekly Feeding Schedule'!$C$47,'Data Sheet'!$A$8:$AX$155,C33,FALSE)))+(('Weekly Feeding Schedule'!$F$48/100)*(VLOOKUP('Weekly Feeding Schedule'!$C$48,'Data Sheet'!$A$8:$AX$155,C33,FALSE)))</f>
        <v>#N/A</v>
      </c>
      <c r="K33" s="215" t="str">
        <f t="shared" si="23"/>
        <v>mg</v>
      </c>
      <c r="L33" s="214" t="str">
        <f>SUM(('Weekly Feeding Schedule'!$F$53/100)*(VLOOKUP('Weekly Feeding Schedule'!$C$53,'Data Sheet'!$A$8:$AX$155,C33,FALSE)))+(('Weekly Feeding Schedule'!$F$54/100)*(VLOOKUP('Weekly Feeding Schedule'!$C$54,'Data Sheet'!$A$8:$AX$155,C33,FALSE)))+(('Weekly Feeding Schedule'!$F$58/100)*(VLOOKUP('Weekly Feeding Schedule'!$C$58,'Data Sheet'!$A$8:$AX$155,C33,FALSE)))+(('Weekly Feeding Schedule'!$F$59/100)*(VLOOKUP('Weekly Feeding Schedule'!$C$59,'Data Sheet'!$A$8:$AX$155,C33,FALSE)))</f>
        <v>#N/A</v>
      </c>
      <c r="M33" s="215" t="str">
        <f t="shared" si="24"/>
        <v>mg</v>
      </c>
      <c r="N33" s="214" t="str">
        <f>SUM(('Weekly Feeding Schedule'!$F$64/100)*(VLOOKUP('Weekly Feeding Schedule'!$C$64,'Data Sheet'!$A$8:$AX$155,C33,FALSE)))+(('Weekly Feeding Schedule'!$F$65/100)*(VLOOKUP('Weekly Feeding Schedule'!$C$65,'Data Sheet'!$A$8:$AX$155,C33,FALSE)))+(('Weekly Feeding Schedule'!$F$69/100)*(VLOOKUP('Weekly Feeding Schedule'!$C$69,'Data Sheet'!$A$8:$AX$155,C33,FALSE)))+(('Weekly Feeding Schedule'!$F$70/100)*(VLOOKUP('Weekly Feeding Schedule'!$C$70,'Data Sheet'!$A$8:$AX$155,C33,FALSE)))</f>
        <v>#N/A</v>
      </c>
      <c r="O33" s="215" t="str">
        <f t="shared" si="25"/>
        <v>mg</v>
      </c>
      <c r="P33" s="214" t="str">
        <f>SUM(('Weekly Feeding Schedule'!$F$75/100)*(VLOOKUP('Weekly Feeding Schedule'!$C$75,'Data Sheet'!$A$8:$AX$155,C33,FALSE)))+(('Weekly Feeding Schedule'!$F$76/100)*(VLOOKUP('Weekly Feeding Schedule'!$C$76,'Data Sheet'!$A$8:$AX$155,C33,FALSE)))+(('Weekly Feeding Schedule'!$F$80/100)*(VLOOKUP('Weekly Feeding Schedule'!$C$80,'Data Sheet'!$A$8:$AX$155,C33,FALSE)))+(('Weekly Feeding Schedule'!$F$81/100)*(VLOOKUP('Weekly Feeding Schedule'!$C$81,'Data Sheet'!$A$8:$AX$155,C33,FALSE)))</f>
        <v>#N/A</v>
      </c>
      <c r="Q33" s="216" t="str">
        <f t="shared" si="26"/>
        <v>mg</v>
      </c>
      <c r="R33" s="217" t="str">
        <f t="shared" si="27"/>
        <v>#N/A</v>
      </c>
      <c r="S33" s="218" t="str">
        <f t="shared" si="28"/>
        <v>mg</v>
      </c>
      <c r="T33" s="234">
        <f>SUM((1.3/1000)*V4)</f>
        <v>0</v>
      </c>
      <c r="U33" s="235" t="str">
        <f t="shared" si="29"/>
        <v>mg</v>
      </c>
      <c r="V33" s="234">
        <f>SUM((1.3/1000)*V4)</f>
        <v>0</v>
      </c>
      <c r="W33" s="234" t="str">
        <f t="shared" si="30"/>
        <v>mg</v>
      </c>
    </row>
    <row r="34" ht="15.75" customHeight="1">
      <c r="A34" s="222" t="s">
        <v>95</v>
      </c>
      <c r="B34" s="222"/>
      <c r="C34" s="223">
        <f>'Data Sheet'!AS6</f>
        <v>45</v>
      </c>
      <c r="D34" s="224" t="str">
        <f>SUM(('Weekly Feeding Schedule'!$F$9/100)*(VLOOKUP('Weekly Feeding Schedule'!$C$9,'Data Sheet'!$A$8:$AX$155,C34,FALSE)))+(('Weekly Feeding Schedule'!$F$10/100)*(VLOOKUP('Weekly Feeding Schedule'!$C$10,'Data Sheet'!$A$8:$AX$155,C34,FALSE)))+(('Weekly Feeding Schedule'!$F$14/100)*(VLOOKUP('Weekly Feeding Schedule'!$C$14,'Data Sheet'!$A$8:$AX$155,C34,FALSE)))+(('Weekly Feeding Schedule'!$F$15/100)*(VLOOKUP('Weekly Feeding Schedule'!$C$15,'Data Sheet'!$A$8:$AX$155,C34,FALSE)))</f>
        <v>#N/A</v>
      </c>
      <c r="E34" s="255" t="s">
        <v>92</v>
      </c>
      <c r="F34" s="224" t="str">
        <f>SUM(('Weekly Feeding Schedule'!$F$20/100)*(VLOOKUP('Weekly Feeding Schedule'!$C$20,'Data Sheet'!$A$8:$AX$155,C34,FALSE)))+(('Weekly Feeding Schedule'!$F$21/100)*(VLOOKUP('Weekly Feeding Schedule'!$C$21,'Data Sheet'!$A$8:$AX$155,C34,FALSE)))+(('Weekly Feeding Schedule'!$F$25/100)*(VLOOKUP('Weekly Feeding Schedule'!$C$25,'Data Sheet'!$A$8:$AX$155,C34,FALSE)))+(('Weekly Feeding Schedule'!$F$26/100)*(VLOOKUP('Weekly Feeding Schedule'!$C$26,'Data Sheet'!$A$8:$AX$155,C34,FALSE)))</f>
        <v>#N/A</v>
      </c>
      <c r="G34" s="225" t="str">
        <f t="shared" si="21"/>
        <v>mg</v>
      </c>
      <c r="H34" s="224" t="str">
        <f>SUM(('Weekly Feeding Schedule'!$F$31/100)*(VLOOKUP('Weekly Feeding Schedule'!$C$31,'Data Sheet'!$A$8:$AX$155,C34,FALSE)))+(('Weekly Feeding Schedule'!$F$32/100)*(VLOOKUP('Weekly Feeding Schedule'!$C$32,'Data Sheet'!$A$8:$AX$155,C34,FALSE)))+(('Weekly Feeding Schedule'!$F$36/100)*(VLOOKUP('Weekly Feeding Schedule'!$C$36,'Data Sheet'!$A$8:$AX$155,C34,FALSE)))+(('Weekly Feeding Schedule'!$F$37/100)*(VLOOKUP('Weekly Feeding Schedule'!$C$37,'Data Sheet'!$A$8:$AX$155,C34,FALSE)))</f>
        <v>#N/A</v>
      </c>
      <c r="I34" s="225" t="str">
        <f t="shared" si="22"/>
        <v>mg</v>
      </c>
      <c r="J34" s="224" t="str">
        <f>SUM(('Weekly Feeding Schedule'!$F$42/100)*(VLOOKUP('Weekly Feeding Schedule'!$C$42,'Data Sheet'!$A$8:$AX$155,C34,FALSE)))+(('Weekly Feeding Schedule'!$F$43/100)*(VLOOKUP('Weekly Feeding Schedule'!$C$43,'Data Sheet'!$A$8:$AX$155,C34,FALSE)))+(('Weekly Feeding Schedule'!$F$47/100)*(VLOOKUP('Weekly Feeding Schedule'!$C$47,'Data Sheet'!$A$8:$AX$155,C34,FALSE)))+(('Weekly Feeding Schedule'!$F$48/100)*(VLOOKUP('Weekly Feeding Schedule'!$C$48,'Data Sheet'!$A$8:$AX$155,C34,FALSE)))</f>
        <v>#N/A</v>
      </c>
      <c r="K34" s="225" t="str">
        <f t="shared" si="23"/>
        <v>mg</v>
      </c>
      <c r="L34" s="224" t="str">
        <f>SUM(('Weekly Feeding Schedule'!$F$53/100)*(VLOOKUP('Weekly Feeding Schedule'!$C$53,'Data Sheet'!$A$8:$AX$155,C34,FALSE)))+(('Weekly Feeding Schedule'!$F$54/100)*(VLOOKUP('Weekly Feeding Schedule'!$C$54,'Data Sheet'!$A$8:$AX$155,C34,FALSE)))+(('Weekly Feeding Schedule'!$F$58/100)*(VLOOKUP('Weekly Feeding Schedule'!$C$58,'Data Sheet'!$A$8:$AX$155,C34,FALSE)))+(('Weekly Feeding Schedule'!$F$59/100)*(VLOOKUP('Weekly Feeding Schedule'!$C$59,'Data Sheet'!$A$8:$AX$155,C34,FALSE)))</f>
        <v>#N/A</v>
      </c>
      <c r="M34" s="225" t="str">
        <f t="shared" si="24"/>
        <v>mg</v>
      </c>
      <c r="N34" s="224" t="str">
        <f>SUM(('Weekly Feeding Schedule'!$F$64/100)*(VLOOKUP('Weekly Feeding Schedule'!$C$64,'Data Sheet'!$A$8:$AX$155,C34,FALSE)))+(('Weekly Feeding Schedule'!$F$65/100)*(VLOOKUP('Weekly Feeding Schedule'!$C$65,'Data Sheet'!$A$8:$AX$155,C34,FALSE)))+(('Weekly Feeding Schedule'!$F$69/100)*(VLOOKUP('Weekly Feeding Schedule'!$C$69,'Data Sheet'!$A$8:$AX$155,C34,FALSE)))+(('Weekly Feeding Schedule'!$F$70/100)*(VLOOKUP('Weekly Feeding Schedule'!$C$70,'Data Sheet'!$A$8:$AX$155,C34,FALSE)))</f>
        <v>#N/A</v>
      </c>
      <c r="O34" s="225" t="str">
        <f t="shared" si="25"/>
        <v>mg</v>
      </c>
      <c r="P34" s="224" t="str">
        <f>SUM(('Weekly Feeding Schedule'!$F$75/100)*(VLOOKUP('Weekly Feeding Schedule'!$C$75,'Data Sheet'!$A$8:$AX$155,C34,FALSE)))+(('Weekly Feeding Schedule'!$F$76/100)*(VLOOKUP('Weekly Feeding Schedule'!$C$76,'Data Sheet'!$A$8:$AX$155,C34,FALSE)))+(('Weekly Feeding Schedule'!$F$80/100)*(VLOOKUP('Weekly Feeding Schedule'!$C$80,'Data Sheet'!$A$8:$AX$155,C34,FALSE)))+(('Weekly Feeding Schedule'!$F$81/100)*(VLOOKUP('Weekly Feeding Schedule'!$C$81,'Data Sheet'!$A$8:$AX$155,C34,FALSE)))</f>
        <v>#N/A</v>
      </c>
      <c r="Q34" s="226" t="str">
        <f t="shared" si="26"/>
        <v>mg</v>
      </c>
      <c r="R34" s="227" t="str">
        <f t="shared" si="27"/>
        <v>#N/A</v>
      </c>
      <c r="S34" s="228" t="str">
        <f t="shared" si="28"/>
        <v>mg</v>
      </c>
      <c r="T34" s="229">
        <f>SUM((3.4/1000)*V4)</f>
        <v>0</v>
      </c>
      <c r="U34" s="230" t="str">
        <f t="shared" si="29"/>
        <v>mg</v>
      </c>
      <c r="V34" s="229">
        <f>SUM((3.4/1000)*V4)</f>
        <v>0</v>
      </c>
      <c r="W34" s="229" t="str">
        <f t="shared" si="30"/>
        <v>mg</v>
      </c>
    </row>
    <row r="35" ht="15.75" customHeight="1">
      <c r="A35" s="232" t="s">
        <v>96</v>
      </c>
      <c r="B35" s="232"/>
      <c r="C35" s="233">
        <f>'Data Sheet'!AT6</f>
        <v>46</v>
      </c>
      <c r="D35" s="214" t="str">
        <f>SUM(('Weekly Feeding Schedule'!$F$9/100)*(VLOOKUP('Weekly Feeding Schedule'!$C$9,'Data Sheet'!$A$8:$AX$155,C35,FALSE)))+(('Weekly Feeding Schedule'!$F$10/100)*(VLOOKUP('Weekly Feeding Schedule'!$C$10,'Data Sheet'!$A$8:$AX$155,C35,FALSE)))+(('Weekly Feeding Schedule'!$F$14/100)*(VLOOKUP('Weekly Feeding Schedule'!$C$14,'Data Sheet'!$A$8:$AX$155,C35,FALSE)))+(('Weekly Feeding Schedule'!$F$15/100)*(VLOOKUP('Weekly Feeding Schedule'!$C$15,'Data Sheet'!$A$8:$AX$155,C35,FALSE)))</f>
        <v>#N/A</v>
      </c>
      <c r="E35" s="256" t="s">
        <v>92</v>
      </c>
      <c r="F35" s="214" t="str">
        <f>SUM(('Weekly Feeding Schedule'!$F$20/100)*(VLOOKUP('Weekly Feeding Schedule'!$C$20,'Data Sheet'!$A$8:$AX$155,C35,FALSE)))+(('Weekly Feeding Schedule'!$F$21/100)*(VLOOKUP('Weekly Feeding Schedule'!$C$21,'Data Sheet'!$A$8:$AX$155,C35,FALSE)))+(('Weekly Feeding Schedule'!$F$25/100)*(VLOOKUP('Weekly Feeding Schedule'!$C$25,'Data Sheet'!$A$8:$AX$155,C35,FALSE)))+(('Weekly Feeding Schedule'!$F$26/100)*(VLOOKUP('Weekly Feeding Schedule'!$C$26,'Data Sheet'!$A$8:$AX$155,C35,FALSE)))</f>
        <v>#N/A</v>
      </c>
      <c r="G35" s="215" t="str">
        <f t="shared" si="21"/>
        <v>mg</v>
      </c>
      <c r="H35" s="214" t="str">
        <f>SUM(('Weekly Feeding Schedule'!$F$31/100)*(VLOOKUP('Weekly Feeding Schedule'!$C$31,'Data Sheet'!$A$8:$AX$155,C35,FALSE)))+(('Weekly Feeding Schedule'!$F$32/100)*(VLOOKUP('Weekly Feeding Schedule'!$C$32,'Data Sheet'!$A$8:$AX$155,C35,FALSE)))+(('Weekly Feeding Schedule'!$F$36/100)*(VLOOKUP('Weekly Feeding Schedule'!$C$36,'Data Sheet'!$A$8:$AX$155,C35,FALSE)))+(('Weekly Feeding Schedule'!$F$37/100)*(VLOOKUP('Weekly Feeding Schedule'!$C$37,'Data Sheet'!$A$8:$AX$155,C35,FALSE)))</f>
        <v>#N/A</v>
      </c>
      <c r="I35" s="215" t="str">
        <f t="shared" si="22"/>
        <v>mg</v>
      </c>
      <c r="J35" s="214" t="str">
        <f>SUM(('Weekly Feeding Schedule'!$F$42/100)*(VLOOKUP('Weekly Feeding Schedule'!$C$42,'Data Sheet'!$A$8:$AX$155,C35,FALSE)))+(('Weekly Feeding Schedule'!$F$43/100)*(VLOOKUP('Weekly Feeding Schedule'!$C$43,'Data Sheet'!$A$8:$AX$155,C35,FALSE)))+(('Weekly Feeding Schedule'!$F$47/100)*(VLOOKUP('Weekly Feeding Schedule'!$C$47,'Data Sheet'!$A$8:$AX$155,C35,FALSE)))+(('Weekly Feeding Schedule'!$F$48/100)*(VLOOKUP('Weekly Feeding Schedule'!$C$48,'Data Sheet'!$A$8:$AX$155,C35,FALSE)))</f>
        <v>#N/A</v>
      </c>
      <c r="K35" s="215" t="str">
        <f t="shared" si="23"/>
        <v>mg</v>
      </c>
      <c r="L35" s="214" t="str">
        <f>SUM(('Weekly Feeding Schedule'!$F$53/100)*(VLOOKUP('Weekly Feeding Schedule'!$C$53,'Data Sheet'!$A$8:$AX$155,C35,FALSE)))+(('Weekly Feeding Schedule'!$F$54/100)*(VLOOKUP('Weekly Feeding Schedule'!$C$54,'Data Sheet'!$A$8:$AX$155,C35,FALSE)))+(('Weekly Feeding Schedule'!$F$58/100)*(VLOOKUP('Weekly Feeding Schedule'!$C$58,'Data Sheet'!$A$8:$AX$155,C35,FALSE)))+(('Weekly Feeding Schedule'!$F$59/100)*(VLOOKUP('Weekly Feeding Schedule'!$C$59,'Data Sheet'!$A$8:$AX$155,C35,FALSE)))</f>
        <v>#N/A</v>
      </c>
      <c r="M35" s="215" t="str">
        <f t="shared" si="24"/>
        <v>mg</v>
      </c>
      <c r="N35" s="214" t="str">
        <f>SUM(('Weekly Feeding Schedule'!$F$64/100)*(VLOOKUP('Weekly Feeding Schedule'!$C$64,'Data Sheet'!$A$8:$AX$155,C35,FALSE)))+(('Weekly Feeding Schedule'!$F$65/100)*(VLOOKUP('Weekly Feeding Schedule'!$C$65,'Data Sheet'!$A$8:$AX$155,C35,FALSE)))+(('Weekly Feeding Schedule'!$F$69/100)*(VLOOKUP('Weekly Feeding Schedule'!$C$69,'Data Sheet'!$A$8:$AX$155,C35,FALSE)))+(('Weekly Feeding Schedule'!$F$70/100)*(VLOOKUP('Weekly Feeding Schedule'!$C$70,'Data Sheet'!$A$8:$AX$155,C35,FALSE)))</f>
        <v>#N/A</v>
      </c>
      <c r="O35" s="215" t="str">
        <f t="shared" si="25"/>
        <v>mg</v>
      </c>
      <c r="P35" s="214" t="str">
        <f>SUM(('Weekly Feeding Schedule'!$F$75/100)*(VLOOKUP('Weekly Feeding Schedule'!$C$75,'Data Sheet'!$A$8:$AX$155,C35,FALSE)))+(('Weekly Feeding Schedule'!$F$76/100)*(VLOOKUP('Weekly Feeding Schedule'!$C$76,'Data Sheet'!$A$8:$AX$155,C35,FALSE)))+(('Weekly Feeding Schedule'!$F$80/100)*(VLOOKUP('Weekly Feeding Schedule'!$C$80,'Data Sheet'!$A$8:$AX$155,C35,FALSE)))+(('Weekly Feeding Schedule'!$F$81/100)*(VLOOKUP('Weekly Feeding Schedule'!$C$81,'Data Sheet'!$A$8:$AX$155,C35,FALSE)))</f>
        <v>#N/A</v>
      </c>
      <c r="Q35" s="216" t="str">
        <f t="shared" si="26"/>
        <v>mg</v>
      </c>
      <c r="R35" s="217" t="str">
        <f t="shared" si="27"/>
        <v>#N/A</v>
      </c>
      <c r="S35" s="218" t="str">
        <f t="shared" si="28"/>
        <v>mg</v>
      </c>
      <c r="T35" s="234">
        <f>SUM((3/1000)*V4)</f>
        <v>0</v>
      </c>
      <c r="U35" s="235" t="str">
        <f t="shared" si="29"/>
        <v>mg</v>
      </c>
      <c r="V35" s="234">
        <f>SUM((3/1000)*V4)</f>
        <v>0</v>
      </c>
      <c r="W35" s="234" t="str">
        <f t="shared" si="30"/>
        <v>mg</v>
      </c>
    </row>
    <row r="36" ht="15.75" customHeight="1">
      <c r="A36" s="222" t="s">
        <v>97</v>
      </c>
      <c r="B36" s="222"/>
      <c r="C36" s="223">
        <f>'Data Sheet'!AU6</f>
        <v>47</v>
      </c>
      <c r="D36" s="224" t="str">
        <f>SUM(('Weekly Feeding Schedule'!$F$9/100)*(VLOOKUP('Weekly Feeding Schedule'!$C$9,'Data Sheet'!$A$8:$AX$155,C36,FALSE)))+(('Weekly Feeding Schedule'!$F$10/100)*(VLOOKUP('Weekly Feeding Schedule'!$C$10,'Data Sheet'!$A$8:$AX$155,C36,FALSE)))+(('Weekly Feeding Schedule'!$F$14/100)*(VLOOKUP('Weekly Feeding Schedule'!$C$14,'Data Sheet'!$A$8:$AX$155,C36,FALSE)))+(('Weekly Feeding Schedule'!$F$15/100)*(VLOOKUP('Weekly Feeding Schedule'!$C$15,'Data Sheet'!$A$8:$AX$155,C36,FALSE)))</f>
        <v>#N/A</v>
      </c>
      <c r="E36" s="255" t="s">
        <v>92</v>
      </c>
      <c r="F36" s="224" t="str">
        <f>SUM(('Weekly Feeding Schedule'!$F$20/100)*(VLOOKUP('Weekly Feeding Schedule'!$C$20,'Data Sheet'!$A$8:$AX$155,C36,FALSE)))+(('Weekly Feeding Schedule'!$F$21/100)*(VLOOKUP('Weekly Feeding Schedule'!$C$21,'Data Sheet'!$A$8:$AX$155,C36,FALSE)))+(('Weekly Feeding Schedule'!$F$25/100)*(VLOOKUP('Weekly Feeding Schedule'!$C$25,'Data Sheet'!$A$8:$AX$155,C36,FALSE)))+(('Weekly Feeding Schedule'!$F$26/100)*(VLOOKUP('Weekly Feeding Schedule'!$C$26,'Data Sheet'!$A$8:$AX$155,C36,FALSE)))</f>
        <v>#N/A</v>
      </c>
      <c r="G36" s="225" t="str">
        <f t="shared" si="21"/>
        <v>mg</v>
      </c>
      <c r="H36" s="224" t="str">
        <f>SUM(('Weekly Feeding Schedule'!$F$31/100)*(VLOOKUP('Weekly Feeding Schedule'!$C$31,'Data Sheet'!$A$8:$AX$155,C36,FALSE)))+(('Weekly Feeding Schedule'!$F$32/100)*(VLOOKUP('Weekly Feeding Schedule'!$C$32,'Data Sheet'!$A$8:$AX$155,C36,FALSE)))+(('Weekly Feeding Schedule'!$F$36/100)*(VLOOKUP('Weekly Feeding Schedule'!$C$36,'Data Sheet'!$A$8:$AX$155,C36,FALSE)))+(('Weekly Feeding Schedule'!$F$37/100)*(VLOOKUP('Weekly Feeding Schedule'!$C$37,'Data Sheet'!$A$8:$AX$155,C36,FALSE)))</f>
        <v>#N/A</v>
      </c>
      <c r="I36" s="225" t="str">
        <f t="shared" si="22"/>
        <v>mg</v>
      </c>
      <c r="J36" s="224" t="str">
        <f>SUM(('Weekly Feeding Schedule'!$F$42/100)*(VLOOKUP('Weekly Feeding Schedule'!$C$42,'Data Sheet'!$A$8:$AX$155,C36,FALSE)))+(('Weekly Feeding Schedule'!$F$43/100)*(VLOOKUP('Weekly Feeding Schedule'!$C$43,'Data Sheet'!$A$8:$AX$155,C36,FALSE)))+(('Weekly Feeding Schedule'!$F$47/100)*(VLOOKUP('Weekly Feeding Schedule'!$C$47,'Data Sheet'!$A$8:$AX$155,C36,FALSE)))+(('Weekly Feeding Schedule'!$F$48/100)*(VLOOKUP('Weekly Feeding Schedule'!$C$48,'Data Sheet'!$A$8:$AX$155,C36,FALSE)))</f>
        <v>#N/A</v>
      </c>
      <c r="K36" s="225" t="str">
        <f t="shared" si="23"/>
        <v>mg</v>
      </c>
      <c r="L36" s="224" t="str">
        <f>SUM(('Weekly Feeding Schedule'!$F$53/100)*(VLOOKUP('Weekly Feeding Schedule'!$C$53,'Data Sheet'!$A$8:$AX$155,C36,FALSE)))+(('Weekly Feeding Schedule'!$F$54/100)*(VLOOKUP('Weekly Feeding Schedule'!$C$54,'Data Sheet'!$A$8:$AX$155,C36,FALSE)))+(('Weekly Feeding Schedule'!$F$58/100)*(VLOOKUP('Weekly Feeding Schedule'!$C$58,'Data Sheet'!$A$8:$AX$155,C36,FALSE)))+(('Weekly Feeding Schedule'!$F$59/100)*(VLOOKUP('Weekly Feeding Schedule'!$C$59,'Data Sheet'!$A$8:$AX$155,C36,FALSE)))</f>
        <v>#N/A</v>
      </c>
      <c r="M36" s="225" t="str">
        <f t="shared" si="24"/>
        <v>mg</v>
      </c>
      <c r="N36" s="224" t="str">
        <f>SUM(('Weekly Feeding Schedule'!$F$64/100)*(VLOOKUP('Weekly Feeding Schedule'!$C$64,'Data Sheet'!$A$8:$AX$155,C36,FALSE)))+(('Weekly Feeding Schedule'!$F$65/100)*(VLOOKUP('Weekly Feeding Schedule'!$C$65,'Data Sheet'!$A$8:$AX$155,C36,FALSE)))+(('Weekly Feeding Schedule'!$F$69/100)*(VLOOKUP('Weekly Feeding Schedule'!$C$69,'Data Sheet'!$A$8:$AX$155,C36,FALSE)))+(('Weekly Feeding Schedule'!$F$70/100)*(VLOOKUP('Weekly Feeding Schedule'!$C$70,'Data Sheet'!$A$8:$AX$155,C36,FALSE)))</f>
        <v>#N/A</v>
      </c>
      <c r="O36" s="225" t="str">
        <f t="shared" si="25"/>
        <v>mg</v>
      </c>
      <c r="P36" s="224" t="str">
        <f>SUM(('Weekly Feeding Schedule'!$F$75/100)*(VLOOKUP('Weekly Feeding Schedule'!$C$75,'Data Sheet'!$A$8:$AX$155,C36,FALSE)))+(('Weekly Feeding Schedule'!$F$76/100)*(VLOOKUP('Weekly Feeding Schedule'!$C$76,'Data Sheet'!$A$8:$AX$155,C36,FALSE)))+(('Weekly Feeding Schedule'!$F$80/100)*(VLOOKUP('Weekly Feeding Schedule'!$C$80,'Data Sheet'!$A$8:$AX$155,C36,FALSE)))+(('Weekly Feeding Schedule'!$F$81/100)*(VLOOKUP('Weekly Feeding Schedule'!$C$81,'Data Sheet'!$A$8:$AX$155,C36,FALSE)))</f>
        <v>#N/A</v>
      </c>
      <c r="Q36" s="226" t="str">
        <f t="shared" si="26"/>
        <v>mg</v>
      </c>
      <c r="R36" s="227" t="str">
        <f t="shared" si="27"/>
        <v>#N/A</v>
      </c>
      <c r="S36" s="228" t="str">
        <f t="shared" si="28"/>
        <v>mg</v>
      </c>
      <c r="T36" s="229">
        <f>SUM((0.38/1000)*V4)</f>
        <v>0</v>
      </c>
      <c r="U36" s="230" t="str">
        <f t="shared" si="29"/>
        <v>mg</v>
      </c>
      <c r="V36" s="229">
        <f>SUM((0.38/1000)*V4)</f>
        <v>0</v>
      </c>
      <c r="W36" s="229" t="str">
        <f t="shared" si="30"/>
        <v>mg</v>
      </c>
    </row>
    <row r="37" ht="15.75" customHeight="1">
      <c r="A37" s="232" t="s">
        <v>98</v>
      </c>
      <c r="B37" s="232"/>
      <c r="C37" s="233">
        <f>'Data Sheet'!AV6</f>
        <v>48</v>
      </c>
      <c r="D37" s="214" t="str">
        <f>SUM(('Weekly Feeding Schedule'!$F$9/100)*(VLOOKUP('Weekly Feeding Schedule'!$C$9,'Data Sheet'!$A$8:$AX$155,C37,FALSE)))+(('Weekly Feeding Schedule'!$F$10/100)*(VLOOKUP('Weekly Feeding Schedule'!$C$10,'Data Sheet'!$A$8:$AX$155,C37,FALSE)))+(('Weekly Feeding Schedule'!$F$14/100)*(VLOOKUP('Weekly Feeding Schedule'!$C$14,'Data Sheet'!$A$8:$AX$155,C37,FALSE)))+(('Weekly Feeding Schedule'!$F$15/100)*(VLOOKUP('Weekly Feeding Schedule'!$C$15,'Data Sheet'!$A$8:$AX$155,C37,FALSE)))</f>
        <v>#N/A</v>
      </c>
      <c r="E37" s="256" t="s">
        <v>89</v>
      </c>
      <c r="F37" s="214" t="str">
        <f>SUM(('Weekly Feeding Schedule'!$F$20/100)*(VLOOKUP('Weekly Feeding Schedule'!$C$20,'Data Sheet'!$A$8:$AX$155,C37,FALSE)))+(('Weekly Feeding Schedule'!$F$21/100)*(VLOOKUP('Weekly Feeding Schedule'!$C$21,'Data Sheet'!$A$8:$AX$155,C37,FALSE)))+(('Weekly Feeding Schedule'!$F$25/100)*(VLOOKUP('Weekly Feeding Schedule'!$C$25,'Data Sheet'!$A$8:$AX$155,C37,FALSE)))+(('Weekly Feeding Schedule'!$F$26/100)*(VLOOKUP('Weekly Feeding Schedule'!$C$26,'Data Sheet'!$A$8:$AX$155,C37,FALSE)))</f>
        <v>#N/A</v>
      </c>
      <c r="G37" s="215" t="str">
        <f t="shared" si="21"/>
        <v>mcg</v>
      </c>
      <c r="H37" s="214" t="str">
        <f>SUM(('Weekly Feeding Schedule'!$F$31/100)*(VLOOKUP('Weekly Feeding Schedule'!$C$31,'Data Sheet'!$A$8:$AX$155,C37,FALSE)))+(('Weekly Feeding Schedule'!$F$32/100)*(VLOOKUP('Weekly Feeding Schedule'!$C$32,'Data Sheet'!$A$8:$AX$155,C37,FALSE)))+(('Weekly Feeding Schedule'!$F$36/100)*(VLOOKUP('Weekly Feeding Schedule'!$C$36,'Data Sheet'!$A$8:$AX$155,C37,FALSE)))+(('Weekly Feeding Schedule'!$F$37/100)*(VLOOKUP('Weekly Feeding Schedule'!$C$37,'Data Sheet'!$A$8:$AX$155,C37,FALSE)))</f>
        <v>#N/A</v>
      </c>
      <c r="I37" s="215" t="str">
        <f t="shared" si="22"/>
        <v>mcg</v>
      </c>
      <c r="J37" s="214" t="str">
        <f>SUM(('Weekly Feeding Schedule'!$F$42/100)*(VLOOKUP('Weekly Feeding Schedule'!$C$42,'Data Sheet'!$A$8:$AX$155,C37,FALSE)))+(('Weekly Feeding Schedule'!$F$43/100)*(VLOOKUP('Weekly Feeding Schedule'!$C$43,'Data Sheet'!$A$8:$AX$155,C37,FALSE)))+(('Weekly Feeding Schedule'!$F$47/100)*(VLOOKUP('Weekly Feeding Schedule'!$C$47,'Data Sheet'!$A$8:$AX$155,C37,FALSE)))+(('Weekly Feeding Schedule'!$F$48/100)*(VLOOKUP('Weekly Feeding Schedule'!$C$48,'Data Sheet'!$A$8:$AX$155,C37,FALSE)))</f>
        <v>#N/A</v>
      </c>
      <c r="K37" s="215" t="str">
        <f t="shared" si="23"/>
        <v>mcg</v>
      </c>
      <c r="L37" s="214" t="str">
        <f>SUM(('Weekly Feeding Schedule'!$F$53/100)*(VLOOKUP('Weekly Feeding Schedule'!$C$53,'Data Sheet'!$A$8:$AX$155,C37,FALSE)))+(('Weekly Feeding Schedule'!$F$54/100)*(VLOOKUP('Weekly Feeding Schedule'!$C$54,'Data Sheet'!$A$8:$AX$155,C37,FALSE)))+(('Weekly Feeding Schedule'!$F$58/100)*(VLOOKUP('Weekly Feeding Schedule'!$C$58,'Data Sheet'!$A$8:$AX$155,C37,FALSE)))+(('Weekly Feeding Schedule'!$F$59/100)*(VLOOKUP('Weekly Feeding Schedule'!$C$59,'Data Sheet'!$A$8:$AX$155,C37,FALSE)))</f>
        <v>#N/A</v>
      </c>
      <c r="M37" s="215" t="str">
        <f t="shared" si="24"/>
        <v>mcg</v>
      </c>
      <c r="N37" s="214" t="str">
        <f>SUM(('Weekly Feeding Schedule'!$F$64/100)*(VLOOKUP('Weekly Feeding Schedule'!$C$64,'Data Sheet'!$A$8:$AX$155,C37,FALSE)))+(('Weekly Feeding Schedule'!$F$65/100)*(VLOOKUP('Weekly Feeding Schedule'!$C$65,'Data Sheet'!$A$8:$AX$155,C37,FALSE)))+(('Weekly Feeding Schedule'!$F$69/100)*(VLOOKUP('Weekly Feeding Schedule'!$C$69,'Data Sheet'!$A$8:$AX$155,C37,FALSE)))+(('Weekly Feeding Schedule'!$F$70/100)*(VLOOKUP('Weekly Feeding Schedule'!$C$70,'Data Sheet'!$A$8:$AX$155,C37,FALSE)))</f>
        <v>#N/A</v>
      </c>
      <c r="O37" s="215" t="str">
        <f t="shared" si="25"/>
        <v>mcg</v>
      </c>
      <c r="P37" s="214" t="str">
        <f>SUM(('Weekly Feeding Schedule'!$F$75/100)*(VLOOKUP('Weekly Feeding Schedule'!$C$75,'Data Sheet'!$A$8:$AX$155,C37,FALSE)))+(('Weekly Feeding Schedule'!$F$76/100)*(VLOOKUP('Weekly Feeding Schedule'!$C$76,'Data Sheet'!$A$8:$AX$155,C37,FALSE)))+(('Weekly Feeding Schedule'!$F$80/100)*(VLOOKUP('Weekly Feeding Schedule'!$C$80,'Data Sheet'!$A$8:$AX$155,C37,FALSE)))+(('Weekly Feeding Schedule'!$F$81/100)*(VLOOKUP('Weekly Feeding Schedule'!$C$81,'Data Sheet'!$A$8:$AX$155,C37,FALSE)))</f>
        <v>#N/A</v>
      </c>
      <c r="Q37" s="216" t="str">
        <f t="shared" si="26"/>
        <v>mcg</v>
      </c>
      <c r="R37" s="217" t="str">
        <f t="shared" si="27"/>
        <v>#N/A</v>
      </c>
      <c r="S37" s="218" t="str">
        <f t="shared" si="28"/>
        <v>mcg</v>
      </c>
      <c r="T37" s="234">
        <f>SUM((54/1000)*V4)</f>
        <v>0</v>
      </c>
      <c r="U37" s="235" t="str">
        <f t="shared" si="29"/>
        <v>mcg</v>
      </c>
      <c r="V37" s="234">
        <f>SUM((54/1000)*V4)</f>
        <v>0</v>
      </c>
      <c r="W37" s="234" t="str">
        <f t="shared" si="30"/>
        <v>mcg</v>
      </c>
    </row>
    <row r="38" ht="15.75" customHeight="1">
      <c r="A38" s="222" t="s">
        <v>99</v>
      </c>
      <c r="B38" s="222"/>
      <c r="C38" s="223">
        <f>'Data Sheet'!AW6</f>
        <v>49</v>
      </c>
      <c r="D38" s="224" t="str">
        <f>SUM(('Weekly Feeding Schedule'!$F$9/100)*(VLOOKUP('Weekly Feeding Schedule'!$C$9,'Data Sheet'!$A$8:$AX$155,C38,FALSE)))+(('Weekly Feeding Schedule'!$F$10/100)*(VLOOKUP('Weekly Feeding Schedule'!$C$10,'Data Sheet'!$A$8:$AX$155,C38,FALSE)))+(('Weekly Feeding Schedule'!$F$14/100)*(VLOOKUP('Weekly Feeding Schedule'!$C$14,'Data Sheet'!$A$8:$AX$155,C38,FALSE)))+(('Weekly Feeding Schedule'!$F$15/100)*(VLOOKUP('Weekly Feeding Schedule'!$C$15,'Data Sheet'!$A$8:$AX$155,C38,FALSE)))</f>
        <v>#N/A</v>
      </c>
      <c r="E38" s="255" t="s">
        <v>89</v>
      </c>
      <c r="F38" s="224" t="str">
        <f>SUM(('Weekly Feeding Schedule'!$F$20/100)*(VLOOKUP('Weekly Feeding Schedule'!$C$20,'Data Sheet'!$A$8:$AX$155,C38,FALSE)))+(('Weekly Feeding Schedule'!$F$21/100)*(VLOOKUP('Weekly Feeding Schedule'!$C$21,'Data Sheet'!$A$8:$AX$155,C38,FALSE)))+(('Weekly Feeding Schedule'!$F$25/100)*(VLOOKUP('Weekly Feeding Schedule'!$C$25,'Data Sheet'!$A$8:$AX$155,C38,FALSE)))+(('Weekly Feeding Schedule'!$F$26/100)*(VLOOKUP('Weekly Feeding Schedule'!$C$26,'Data Sheet'!$A$8:$AX$155,C38,FALSE)))</f>
        <v>#N/A</v>
      </c>
      <c r="G38" s="225" t="str">
        <f t="shared" si="21"/>
        <v>mcg</v>
      </c>
      <c r="H38" s="224" t="str">
        <f>SUM(('Weekly Feeding Schedule'!$F$31/100)*(VLOOKUP('Weekly Feeding Schedule'!$C$31,'Data Sheet'!$A$8:$AX$155,C38,FALSE)))+(('Weekly Feeding Schedule'!$F$32/100)*(VLOOKUP('Weekly Feeding Schedule'!$C$32,'Data Sheet'!$A$8:$AX$155,C38,FALSE)))+(('Weekly Feeding Schedule'!$F$36/100)*(VLOOKUP('Weekly Feeding Schedule'!$C$36,'Data Sheet'!$A$8:$AX$155,C38,FALSE)))+(('Weekly Feeding Schedule'!$F$37/100)*(VLOOKUP('Weekly Feeding Schedule'!$C$37,'Data Sheet'!$A$8:$AX$155,C38,FALSE)))</f>
        <v>#N/A</v>
      </c>
      <c r="I38" s="225" t="str">
        <f t="shared" si="22"/>
        <v>mcg</v>
      </c>
      <c r="J38" s="224" t="str">
        <f>SUM(('Weekly Feeding Schedule'!$F$42/100)*(VLOOKUP('Weekly Feeding Schedule'!$C$42,'Data Sheet'!$A$8:$AX$155,C38,FALSE)))+(('Weekly Feeding Schedule'!$F$43/100)*(VLOOKUP('Weekly Feeding Schedule'!$C$43,'Data Sheet'!$A$8:$AX$155,C38,FALSE)))+(('Weekly Feeding Schedule'!$F$47/100)*(VLOOKUP('Weekly Feeding Schedule'!$C$47,'Data Sheet'!$A$8:$AX$155,C38,FALSE)))+(('Weekly Feeding Schedule'!$F$48/100)*(VLOOKUP('Weekly Feeding Schedule'!$C$48,'Data Sheet'!$A$8:$AX$155,C38,FALSE)))</f>
        <v>#N/A</v>
      </c>
      <c r="K38" s="225" t="str">
        <f t="shared" si="23"/>
        <v>mcg</v>
      </c>
      <c r="L38" s="224" t="str">
        <f>SUM(('Weekly Feeding Schedule'!$F$53/100)*(VLOOKUP('Weekly Feeding Schedule'!$C$53,'Data Sheet'!$A$8:$AX$155,C38,FALSE)))+(('Weekly Feeding Schedule'!$F$54/100)*(VLOOKUP('Weekly Feeding Schedule'!$C$54,'Data Sheet'!$A$8:$AX$155,C38,FALSE)))+(('Weekly Feeding Schedule'!$F$58/100)*(VLOOKUP('Weekly Feeding Schedule'!$C$58,'Data Sheet'!$A$8:$AX$155,C38,FALSE)))+(('Weekly Feeding Schedule'!$F$59/100)*(VLOOKUP('Weekly Feeding Schedule'!$C$59,'Data Sheet'!$A$8:$AX$155,C38,FALSE)))</f>
        <v>#N/A</v>
      </c>
      <c r="M38" s="225" t="str">
        <f t="shared" si="24"/>
        <v>mcg</v>
      </c>
      <c r="N38" s="224" t="str">
        <f>SUM(('Weekly Feeding Schedule'!$F$64/100)*(VLOOKUP('Weekly Feeding Schedule'!$C$64,'Data Sheet'!$A$8:$AX$155,C38,FALSE)))+(('Weekly Feeding Schedule'!$F$65/100)*(VLOOKUP('Weekly Feeding Schedule'!$C$65,'Data Sheet'!$A$8:$AX$155,C38,FALSE)))+(('Weekly Feeding Schedule'!$F$69/100)*(VLOOKUP('Weekly Feeding Schedule'!$C$69,'Data Sheet'!$A$8:$AX$155,C38,FALSE)))+(('Weekly Feeding Schedule'!$F$70/100)*(VLOOKUP('Weekly Feeding Schedule'!$C$70,'Data Sheet'!$A$8:$AX$155,C38,FALSE)))</f>
        <v>#N/A</v>
      </c>
      <c r="O38" s="225" t="str">
        <f t="shared" si="25"/>
        <v>mcg</v>
      </c>
      <c r="P38" s="224" t="str">
        <f>SUM(('Weekly Feeding Schedule'!$F$75/100)*(VLOOKUP('Weekly Feeding Schedule'!$C$75,'Data Sheet'!$A$8:$AX$155,C38,FALSE)))+(('Weekly Feeding Schedule'!$F$76/100)*(VLOOKUP('Weekly Feeding Schedule'!$C$76,'Data Sheet'!$A$8:$AX$155,C38,FALSE)))+(('Weekly Feeding Schedule'!$F$80/100)*(VLOOKUP('Weekly Feeding Schedule'!$C$80,'Data Sheet'!$A$8:$AX$155,C38,FALSE)))+(('Weekly Feeding Schedule'!$F$81/100)*(VLOOKUP('Weekly Feeding Schedule'!$C$81,'Data Sheet'!$A$8:$AX$155,C38,FALSE)))</f>
        <v>#N/A</v>
      </c>
      <c r="Q38" s="226" t="str">
        <f t="shared" si="26"/>
        <v>mcg</v>
      </c>
      <c r="R38" s="227" t="str">
        <f t="shared" si="27"/>
        <v>#N/A</v>
      </c>
      <c r="S38" s="228" t="str">
        <f t="shared" si="28"/>
        <v>mcg</v>
      </c>
      <c r="T38" s="229">
        <f>SUM((7/1000)*V4)</f>
        <v>0</v>
      </c>
      <c r="U38" s="230" t="str">
        <f t="shared" si="29"/>
        <v>mcg</v>
      </c>
      <c r="V38" s="229">
        <f>SUM((7/1000)*V4)</f>
        <v>0</v>
      </c>
      <c r="W38" s="229" t="str">
        <f t="shared" si="30"/>
        <v>mcg</v>
      </c>
    </row>
    <row r="39" ht="15.75" customHeight="1">
      <c r="A39" s="243" t="s">
        <v>100</v>
      </c>
      <c r="B39" s="243"/>
      <c r="C39" s="244">
        <f>'Data Sheet'!AX6</f>
        <v>50</v>
      </c>
      <c r="D39" s="214" t="str">
        <f>SUM(('Weekly Feeding Schedule'!$F$9/100)*(VLOOKUP('Weekly Feeding Schedule'!$C$9,'Data Sheet'!$A$8:$AX$155,C39,FALSE)))+(('Weekly Feeding Schedule'!$F$10/100)*(VLOOKUP('Weekly Feeding Schedule'!$C$10,'Data Sheet'!$A$8:$AX$155,C39,FALSE)))+(('Weekly Feeding Schedule'!$F$14/100)*(VLOOKUP('Weekly Feeding Schedule'!$C$14,'Data Sheet'!$A$8:$AX$155,C39,FALSE)))+(('Weekly Feeding Schedule'!$F$15/100)*(VLOOKUP('Weekly Feeding Schedule'!$C$15,'Data Sheet'!$A$8:$AX$155,C39,FALSE)))</f>
        <v>#N/A</v>
      </c>
      <c r="E39" s="257" t="s">
        <v>92</v>
      </c>
      <c r="F39" s="214" t="str">
        <f>SUM(('Weekly Feeding Schedule'!$F$20/100)*(VLOOKUP('Weekly Feeding Schedule'!$C$20,'Data Sheet'!$A$8:$AX$155,C39,FALSE)))+(('Weekly Feeding Schedule'!$F$21/100)*(VLOOKUP('Weekly Feeding Schedule'!$C$21,'Data Sheet'!$A$8:$AX$155,C39,FALSE)))+(('Weekly Feeding Schedule'!$F$25/100)*(VLOOKUP('Weekly Feeding Schedule'!$C$25,'Data Sheet'!$A$8:$AX$155,C39,FALSE)))+(('Weekly Feeding Schedule'!$F$26/100)*(VLOOKUP('Weekly Feeding Schedule'!$C$26,'Data Sheet'!$A$8:$AX$155,C39,FALSE)))</f>
        <v>#N/A</v>
      </c>
      <c r="G39" s="258" t="str">
        <f t="shared" si="21"/>
        <v>mg</v>
      </c>
      <c r="H39" s="214" t="str">
        <f>SUM(('Weekly Feeding Schedule'!$F$31/100)*(VLOOKUP('Weekly Feeding Schedule'!$C$31,'Data Sheet'!$A$8:$AX$155,C39,FALSE)))+(('Weekly Feeding Schedule'!$F$32/100)*(VLOOKUP('Weekly Feeding Schedule'!$C$32,'Data Sheet'!$A$8:$AX$155,C39,FALSE)))+(('Weekly Feeding Schedule'!$F$36/100)*(VLOOKUP('Weekly Feeding Schedule'!$C$36,'Data Sheet'!$A$8:$AX$155,C39,FALSE)))+(('Weekly Feeding Schedule'!$F$37/100)*(VLOOKUP('Weekly Feeding Schedule'!$C$37,'Data Sheet'!$A$8:$AX$155,C39,FALSE)))</f>
        <v>#N/A</v>
      </c>
      <c r="I39" s="258" t="str">
        <f t="shared" si="22"/>
        <v>mg</v>
      </c>
      <c r="J39" s="214" t="str">
        <f>SUM(('Weekly Feeding Schedule'!$F$42/100)*(VLOOKUP('Weekly Feeding Schedule'!$C$42,'Data Sheet'!$A$8:$AX$155,C39,FALSE)))+(('Weekly Feeding Schedule'!$F$43/100)*(VLOOKUP('Weekly Feeding Schedule'!$C$43,'Data Sheet'!$A$8:$AX$155,C39,FALSE)))+(('Weekly Feeding Schedule'!$F$47/100)*(VLOOKUP('Weekly Feeding Schedule'!$C$47,'Data Sheet'!$A$8:$AX$155,C39,FALSE)))+(('Weekly Feeding Schedule'!$F$48/100)*(VLOOKUP('Weekly Feeding Schedule'!$C$48,'Data Sheet'!$A$8:$AX$155,C39,FALSE)))</f>
        <v>#N/A</v>
      </c>
      <c r="K39" s="258" t="str">
        <f t="shared" si="23"/>
        <v>mg</v>
      </c>
      <c r="L39" s="214" t="str">
        <f>SUM(('Weekly Feeding Schedule'!$F$53/100)*(VLOOKUP('Weekly Feeding Schedule'!$C$53,'Data Sheet'!$A$8:$AX$155,C39,FALSE)))+(('Weekly Feeding Schedule'!$F$54/100)*(VLOOKUP('Weekly Feeding Schedule'!$C$54,'Data Sheet'!$A$8:$AX$155,C39,FALSE)))+(('Weekly Feeding Schedule'!$F$58/100)*(VLOOKUP('Weekly Feeding Schedule'!$C$58,'Data Sheet'!$A$8:$AX$155,C39,FALSE)))+(('Weekly Feeding Schedule'!$F$59/100)*(VLOOKUP('Weekly Feeding Schedule'!$C$59,'Data Sheet'!$A$8:$AX$155,C39,FALSE)))</f>
        <v>#N/A</v>
      </c>
      <c r="M39" s="258" t="str">
        <f t="shared" si="24"/>
        <v>mg</v>
      </c>
      <c r="N39" s="214" t="str">
        <f>SUM(('Weekly Feeding Schedule'!$F$64/100)*(VLOOKUP('Weekly Feeding Schedule'!$C$64,'Data Sheet'!$A$8:$AX$155,C39,FALSE)))+(('Weekly Feeding Schedule'!$F$65/100)*(VLOOKUP('Weekly Feeding Schedule'!$C$65,'Data Sheet'!$A$8:$AX$155,C39,FALSE)))+(('Weekly Feeding Schedule'!$F$69/100)*(VLOOKUP('Weekly Feeding Schedule'!$C$69,'Data Sheet'!$A$8:$AX$155,C39,FALSE)))+(('Weekly Feeding Schedule'!$F$70/100)*(VLOOKUP('Weekly Feeding Schedule'!$C$70,'Data Sheet'!$A$8:$AX$155,C39,FALSE)))</f>
        <v>#N/A</v>
      </c>
      <c r="O39" s="258" t="str">
        <f t="shared" si="25"/>
        <v>mg</v>
      </c>
      <c r="P39" s="214" t="str">
        <f>SUM(('Weekly Feeding Schedule'!$F$75/100)*(VLOOKUP('Weekly Feeding Schedule'!$C$75,'Data Sheet'!$A$8:$AX$155,C39,FALSE)))+(('Weekly Feeding Schedule'!$F$76/100)*(VLOOKUP('Weekly Feeding Schedule'!$C$76,'Data Sheet'!$A$8:$AX$155,C39,FALSE)))+(('Weekly Feeding Schedule'!$F$80/100)*(VLOOKUP('Weekly Feeding Schedule'!$C$80,'Data Sheet'!$A$8:$AX$155,C39,FALSE)))+(('Weekly Feeding Schedule'!$F$81/100)*(VLOOKUP('Weekly Feeding Schedule'!$C$81,'Data Sheet'!$A$8:$AX$155,C39,FALSE)))</f>
        <v>#N/A</v>
      </c>
      <c r="Q39" s="259" t="str">
        <f t="shared" si="26"/>
        <v>mg</v>
      </c>
      <c r="R39" s="245" t="str">
        <f t="shared" si="27"/>
        <v>#N/A</v>
      </c>
      <c r="S39" s="246" t="str">
        <f t="shared" si="28"/>
        <v>mg</v>
      </c>
      <c r="T39" s="247">
        <f>SUM((340/1000)*V4)</f>
        <v>0</v>
      </c>
      <c r="U39" s="248" t="str">
        <f t="shared" si="29"/>
        <v>mg</v>
      </c>
      <c r="V39" s="247">
        <f>SUM((340/1000)*V4)</f>
        <v>0</v>
      </c>
      <c r="W39" s="247" t="str">
        <f t="shared" si="30"/>
        <v>mg</v>
      </c>
    </row>
    <row r="40" ht="15.75" customHeight="1">
      <c r="A40" s="204" t="s">
        <v>101</v>
      </c>
      <c r="B40" s="130"/>
      <c r="C40" s="205"/>
      <c r="D40" s="250" t="str">
        <f>D28</f>
        <v>Sunday</v>
      </c>
      <c r="E40" s="205"/>
      <c r="F40" s="251" t="str">
        <f>F28</f>
        <v>Monday</v>
      </c>
      <c r="G40" s="205"/>
      <c r="H40" s="251" t="str">
        <f>H28</f>
        <v>Tuesday</v>
      </c>
      <c r="I40" s="205"/>
      <c r="J40" s="251" t="str">
        <f>J28</f>
        <v>Wednesday</v>
      </c>
      <c r="K40" s="205"/>
      <c r="L40" s="251" t="str">
        <f>L28</f>
        <v>Thursday</v>
      </c>
      <c r="M40" s="205"/>
      <c r="N40" s="251" t="str">
        <f>N28</f>
        <v>Friday</v>
      </c>
      <c r="O40" s="205"/>
      <c r="P40" s="251" t="str">
        <f>P28</f>
        <v>Saturday</v>
      </c>
      <c r="Q40" s="205"/>
      <c r="R40" s="252" t="str">
        <f>$R$6</f>
        <v>Average</v>
      </c>
      <c r="S40" s="108"/>
      <c r="T40" s="253" t="str">
        <f>T28</f>
        <v>AAFCO 2020 Adult Minimums</v>
      </c>
      <c r="U40" s="254"/>
      <c r="V40" s="253" t="str">
        <f>V28</f>
        <v>AAFCO 2020 Growth &amp; Reproduction Minimums</v>
      </c>
      <c r="W40" s="210"/>
    </row>
    <row r="41" ht="15.75" customHeight="1">
      <c r="A41" s="212" t="s">
        <v>102</v>
      </c>
      <c r="B41" s="212"/>
      <c r="C41" s="213">
        <f>'Data Sheet'!AB6</f>
        <v>28</v>
      </c>
      <c r="D41" s="214" t="str">
        <f>SUM(('Weekly Feeding Schedule'!$F$9/100)*(VLOOKUP('Weekly Feeding Schedule'!$C$9,'Data Sheet'!$A$8:$AX$155,C41,FALSE)))+(('Weekly Feeding Schedule'!$F$10/100)*(VLOOKUP('Weekly Feeding Schedule'!$C$10,'Data Sheet'!$A$8:$AX$155,C41,FALSE)))+(('Weekly Feeding Schedule'!$F$14/100)*(VLOOKUP('Weekly Feeding Schedule'!$C$14,'Data Sheet'!$A$8:$AX$155,C41,FALSE)))+(('Weekly Feeding Schedule'!$F$15/100)*(VLOOKUP('Weekly Feeding Schedule'!$C$15,'Data Sheet'!$A$8:$AX$155,C41,FALSE)))</f>
        <v>#N/A</v>
      </c>
      <c r="E41" s="215" t="s">
        <v>68</v>
      </c>
      <c r="F41" s="214" t="str">
        <f>SUM(('Weekly Feeding Schedule'!$F$20/100)*(VLOOKUP('Weekly Feeding Schedule'!$C$20,'Data Sheet'!$A$8:$AX$155,C41,FALSE)))+(('Weekly Feeding Schedule'!$F$21/100)*(VLOOKUP('Weekly Feeding Schedule'!$C$21,'Data Sheet'!$A$8:$AX$155,C41,FALSE)))+(('Weekly Feeding Schedule'!$F$25/100)*(VLOOKUP('Weekly Feeding Schedule'!$C$25,'Data Sheet'!$A$8:$AX$155,C41,FALSE)))+(('Weekly Feeding Schedule'!$F$26/100)*(VLOOKUP('Weekly Feeding Schedule'!$C$26,'Data Sheet'!$A$8:$AX$155,C41,FALSE)))</f>
        <v>#N/A</v>
      </c>
      <c r="G41" s="215" t="str">
        <f t="shared" ref="G41:G52" si="31">E41</f>
        <v>g</v>
      </c>
      <c r="H41" s="214" t="str">
        <f>SUM(('Weekly Feeding Schedule'!$F$31/100)*(VLOOKUP('Weekly Feeding Schedule'!$C$31,'Data Sheet'!$A$8:$AX$155,C41,FALSE)))+(('Weekly Feeding Schedule'!$F$32/100)*(VLOOKUP('Weekly Feeding Schedule'!$C$32,'Data Sheet'!$A$8:$AX$155,C41,FALSE)))+(('Weekly Feeding Schedule'!$F$36/100)*(VLOOKUP('Weekly Feeding Schedule'!$C$36,'Data Sheet'!$A$8:$AX$155,C41,FALSE)))+(('Weekly Feeding Schedule'!$F$37/100)*(VLOOKUP('Weekly Feeding Schedule'!$C$37,'Data Sheet'!$A$8:$AX$155,C41,FALSE)))</f>
        <v>#N/A</v>
      </c>
      <c r="I41" s="215" t="str">
        <f t="shared" ref="I41:I52" si="32">E41</f>
        <v>g</v>
      </c>
      <c r="J41" s="214" t="str">
        <f>SUM(('Weekly Feeding Schedule'!$F$42/100)*(VLOOKUP('Weekly Feeding Schedule'!$C$42,'Data Sheet'!$A$8:$AX$155,C41,FALSE)))+(('Weekly Feeding Schedule'!$F$43/100)*(VLOOKUP('Weekly Feeding Schedule'!$C$43,'Data Sheet'!$A$8:$AX$155,C41,FALSE)))+(('Weekly Feeding Schedule'!$F$47/100)*(VLOOKUP('Weekly Feeding Schedule'!$C$47,'Data Sheet'!$A$8:$AX$155,C41,FALSE)))+(('Weekly Feeding Schedule'!$F$48/100)*(VLOOKUP('Weekly Feeding Schedule'!$C$48,'Data Sheet'!$A$8:$AX$155,C41,FALSE)))</f>
        <v>#N/A</v>
      </c>
      <c r="K41" s="215" t="str">
        <f t="shared" ref="K41:K52" si="33">E41</f>
        <v>g</v>
      </c>
      <c r="L41" s="214" t="str">
        <f>SUM(('Weekly Feeding Schedule'!$F$53/100)*(VLOOKUP('Weekly Feeding Schedule'!$C$53,'Data Sheet'!$A$8:$AX$155,C41,FALSE)))+(('Weekly Feeding Schedule'!$F$54/100)*(VLOOKUP('Weekly Feeding Schedule'!$C$54,'Data Sheet'!$A$8:$AX$155,C41,FALSE)))+(('Weekly Feeding Schedule'!$F$58/100)*(VLOOKUP('Weekly Feeding Schedule'!$C$58,'Data Sheet'!$A$8:$AX$155,C41,FALSE)))+(('Weekly Feeding Schedule'!$F$59/100)*(VLOOKUP('Weekly Feeding Schedule'!$C$59,'Data Sheet'!$A$8:$AX$155,C41,FALSE)))</f>
        <v>#N/A</v>
      </c>
      <c r="M41" s="215" t="str">
        <f t="shared" ref="M41:M52" si="34">E41</f>
        <v>g</v>
      </c>
      <c r="N41" s="214" t="str">
        <f>SUM(('Weekly Feeding Schedule'!$F$64/100)*(VLOOKUP('Weekly Feeding Schedule'!$C$64,'Data Sheet'!$A$8:$AX$155,C41,FALSE)))+(('Weekly Feeding Schedule'!$F$65/100)*(VLOOKUP('Weekly Feeding Schedule'!$C$65,'Data Sheet'!$A$8:$AX$155,C41,FALSE)))+(('Weekly Feeding Schedule'!$F$69/100)*(VLOOKUP('Weekly Feeding Schedule'!$C$69,'Data Sheet'!$A$8:$AX$155,C41,FALSE)))+(('Weekly Feeding Schedule'!$F$70/100)*(VLOOKUP('Weekly Feeding Schedule'!$C$70,'Data Sheet'!$A$8:$AX$155,C41,FALSE)))</f>
        <v>#N/A</v>
      </c>
      <c r="O41" s="215" t="str">
        <f t="shared" ref="O41:O52" si="35">E41</f>
        <v>g</v>
      </c>
      <c r="P41" s="214" t="str">
        <f>SUM(('Weekly Feeding Schedule'!$F$75/100)*(VLOOKUP('Weekly Feeding Schedule'!$C$75,'Data Sheet'!$A$8:$AX$155,C41,FALSE)))+(('Weekly Feeding Schedule'!$F$76/100)*(VLOOKUP('Weekly Feeding Schedule'!$C$76,'Data Sheet'!$A$8:$AX$155,C41,FALSE)))+(('Weekly Feeding Schedule'!$F$80/100)*(VLOOKUP('Weekly Feeding Schedule'!$C$80,'Data Sheet'!$A$8:$AX$155,C41,FALSE)))+(('Weekly Feeding Schedule'!$F$81/100)*(VLOOKUP('Weekly Feeding Schedule'!$C$81,'Data Sheet'!$A$8:$AX$155,C41,FALSE)))</f>
        <v>#N/A</v>
      </c>
      <c r="Q41" s="216" t="str">
        <f t="shared" ref="Q41:Q52" si="36">E41</f>
        <v>g</v>
      </c>
      <c r="R41" s="217" t="str">
        <f t="shared" ref="R41:R52" si="37">SUM(D41+F41+H41+J41+L41+N41+P41)/7</f>
        <v>#N/A</v>
      </c>
      <c r="S41" s="218" t="str">
        <f t="shared" ref="S41:S52" si="38">E41</f>
        <v>g</v>
      </c>
      <c r="T41" s="219">
        <f>SUM((1.25/1000)*V4)</f>
        <v>0</v>
      </c>
      <c r="U41" s="220" t="str">
        <f t="shared" ref="U41:U52" si="39">E41</f>
        <v>g</v>
      </c>
      <c r="V41" s="219">
        <f>SUM((3/1000)*V4)</f>
        <v>0</v>
      </c>
      <c r="W41" s="219" t="str">
        <f t="shared" ref="W41:W52" si="40">U41</f>
        <v>g</v>
      </c>
    </row>
    <row r="42" ht="15.75" customHeight="1">
      <c r="A42" s="222" t="s">
        <v>103</v>
      </c>
      <c r="B42" s="222"/>
      <c r="C42" s="223">
        <f>'Data Sheet'!AC6</f>
        <v>29</v>
      </c>
      <c r="D42" s="224" t="str">
        <f>SUM(('Weekly Feeding Schedule'!$F$9/100)*(VLOOKUP('Weekly Feeding Schedule'!$C$9,'Data Sheet'!$A$8:$AX$155,C42,FALSE)))+(('Weekly Feeding Schedule'!$F$10/100)*(VLOOKUP('Weekly Feeding Schedule'!$C$10,'Data Sheet'!$A$8:$AX$155,C42,FALSE)))+(('Weekly Feeding Schedule'!$F$14/100)*(VLOOKUP('Weekly Feeding Schedule'!$C$14,'Data Sheet'!$A$8:$AX$155,C42,FALSE)))+(('Weekly Feeding Schedule'!$F$15/100)*(VLOOKUP('Weekly Feeding Schedule'!$C$15,'Data Sheet'!$A$8:$AX$155,C42,FALSE)))</f>
        <v>#N/A</v>
      </c>
      <c r="E42" s="255" t="s">
        <v>68</v>
      </c>
      <c r="F42" s="224" t="str">
        <f>SUM(('Weekly Feeding Schedule'!$F$20/100)*(VLOOKUP('Weekly Feeding Schedule'!$C$20,'Data Sheet'!$A$8:$AX$155,C42,FALSE)))+(('Weekly Feeding Schedule'!$F$21/100)*(VLOOKUP('Weekly Feeding Schedule'!$C$21,'Data Sheet'!$A$8:$AX$155,C42,FALSE)))+(('Weekly Feeding Schedule'!$F$25/100)*(VLOOKUP('Weekly Feeding Schedule'!$C$25,'Data Sheet'!$A$8:$AX$155,C42,FALSE)))+(('Weekly Feeding Schedule'!$F$26/100)*(VLOOKUP('Weekly Feeding Schedule'!$C$26,'Data Sheet'!$A$8:$AX$155,C42,FALSE)))</f>
        <v>#N/A</v>
      </c>
      <c r="G42" s="225" t="str">
        <f t="shared" si="31"/>
        <v>g</v>
      </c>
      <c r="H42" s="224" t="str">
        <f>SUM(('Weekly Feeding Schedule'!$F$31/100)*(VLOOKUP('Weekly Feeding Schedule'!$C$31,'Data Sheet'!$A$8:$AX$155,C42,FALSE)))+(('Weekly Feeding Schedule'!$F$32/100)*(VLOOKUP('Weekly Feeding Schedule'!$C$32,'Data Sheet'!$A$8:$AX$155,C42,FALSE)))+(('Weekly Feeding Schedule'!$F$36/100)*(VLOOKUP('Weekly Feeding Schedule'!$C$36,'Data Sheet'!$A$8:$AX$155,C42,FALSE)))+(('Weekly Feeding Schedule'!$F$37/100)*(VLOOKUP('Weekly Feeding Schedule'!$C$37,'Data Sheet'!$A$8:$AX$155,C42,FALSE)))</f>
        <v>#N/A</v>
      </c>
      <c r="I42" s="225" t="str">
        <f t="shared" si="32"/>
        <v>g</v>
      </c>
      <c r="J42" s="224" t="str">
        <f>SUM(('Weekly Feeding Schedule'!$F$42/100)*(VLOOKUP('Weekly Feeding Schedule'!$C$42,'Data Sheet'!$A$8:$AX$155,C42,FALSE)))+(('Weekly Feeding Schedule'!$F$43/100)*(VLOOKUP('Weekly Feeding Schedule'!$C$43,'Data Sheet'!$A$8:$AX$155,C42,FALSE)))+(('Weekly Feeding Schedule'!$F$47/100)*(VLOOKUP('Weekly Feeding Schedule'!$C$47,'Data Sheet'!$A$8:$AX$155,C42,FALSE)))+(('Weekly Feeding Schedule'!$F$48/100)*(VLOOKUP('Weekly Feeding Schedule'!$C$48,'Data Sheet'!$A$8:$AX$155,C42,FALSE)))</f>
        <v>#N/A</v>
      </c>
      <c r="K42" s="225" t="str">
        <f t="shared" si="33"/>
        <v>g</v>
      </c>
      <c r="L42" s="224" t="str">
        <f>SUM(('Weekly Feeding Schedule'!$F$53/100)*(VLOOKUP('Weekly Feeding Schedule'!$C$53,'Data Sheet'!$A$8:$AX$155,C42,FALSE)))+(('Weekly Feeding Schedule'!$F$54/100)*(VLOOKUP('Weekly Feeding Schedule'!$C$54,'Data Sheet'!$A$8:$AX$155,C42,FALSE)))+(('Weekly Feeding Schedule'!$F$58/100)*(VLOOKUP('Weekly Feeding Schedule'!$C$58,'Data Sheet'!$A$8:$AX$155,C42,FALSE)))+(('Weekly Feeding Schedule'!$F$59/100)*(VLOOKUP('Weekly Feeding Schedule'!$C$59,'Data Sheet'!$A$8:$AX$155,C42,FALSE)))</f>
        <v>#N/A</v>
      </c>
      <c r="M42" s="225" t="str">
        <f t="shared" si="34"/>
        <v>g</v>
      </c>
      <c r="N42" s="224" t="str">
        <f>SUM(('Weekly Feeding Schedule'!$F$64/100)*(VLOOKUP('Weekly Feeding Schedule'!$C$64,'Data Sheet'!$A$8:$AX$155,C42,FALSE)))+(('Weekly Feeding Schedule'!$F$65/100)*(VLOOKUP('Weekly Feeding Schedule'!$C$65,'Data Sheet'!$A$8:$AX$155,C42,FALSE)))+(('Weekly Feeding Schedule'!$F$69/100)*(VLOOKUP('Weekly Feeding Schedule'!$C$69,'Data Sheet'!$A$8:$AX$155,C42,FALSE)))+(('Weekly Feeding Schedule'!$F$70/100)*(VLOOKUP('Weekly Feeding Schedule'!$C$70,'Data Sheet'!$A$8:$AX$155,C42,FALSE)))</f>
        <v>#N/A</v>
      </c>
      <c r="O42" s="225" t="str">
        <f t="shared" si="35"/>
        <v>g</v>
      </c>
      <c r="P42" s="224" t="str">
        <f>SUM(('Weekly Feeding Schedule'!$F$75/100)*(VLOOKUP('Weekly Feeding Schedule'!$C$75,'Data Sheet'!$A$8:$AX$155,C42,FALSE)))+(('Weekly Feeding Schedule'!$F$76/100)*(VLOOKUP('Weekly Feeding Schedule'!$C$76,'Data Sheet'!$A$8:$AX$155,C42,FALSE)))+(('Weekly Feeding Schedule'!$F$80/100)*(VLOOKUP('Weekly Feeding Schedule'!$C$80,'Data Sheet'!$A$8:$AX$155,C42,FALSE)))+(('Weekly Feeding Schedule'!$F$81/100)*(VLOOKUP('Weekly Feeding Schedule'!$C$81,'Data Sheet'!$A$8:$AX$155,C42,FALSE)))</f>
        <v>#N/A</v>
      </c>
      <c r="Q42" s="226" t="str">
        <f t="shared" si="36"/>
        <v>g</v>
      </c>
      <c r="R42" s="227" t="str">
        <f t="shared" si="37"/>
        <v>#N/A</v>
      </c>
      <c r="S42" s="228" t="str">
        <f t="shared" si="38"/>
        <v>g</v>
      </c>
      <c r="T42" s="229">
        <f>SUM((1/1000)*V4)</f>
        <v>0</v>
      </c>
      <c r="U42" s="230" t="str">
        <f t="shared" si="39"/>
        <v>g</v>
      </c>
      <c r="V42" s="229">
        <f>SUM((2.5/1000)*V4)</f>
        <v>0</v>
      </c>
      <c r="W42" s="229" t="str">
        <f t="shared" si="40"/>
        <v>g</v>
      </c>
    </row>
    <row r="43" ht="15.75" customHeight="1">
      <c r="A43" s="232" t="s">
        <v>104</v>
      </c>
      <c r="B43" s="232"/>
      <c r="C43" s="233">
        <f>'Data Sheet'!AD6</f>
        <v>30</v>
      </c>
      <c r="D43" s="214" t="str">
        <f>SUM(('Weekly Feeding Schedule'!$F$9/100)*(VLOOKUP('Weekly Feeding Schedule'!$C$9,'Data Sheet'!$A$8:$AX$155,C43,FALSE)))+(('Weekly Feeding Schedule'!$F$10/100)*(VLOOKUP('Weekly Feeding Schedule'!$C$10,'Data Sheet'!$A$8:$AX$155,C43,FALSE)))+(('Weekly Feeding Schedule'!$F$14/100)*(VLOOKUP('Weekly Feeding Schedule'!$C$14,'Data Sheet'!$A$8:$AX$155,C43,FALSE)))+(('Weekly Feeding Schedule'!$F$15/100)*(VLOOKUP('Weekly Feeding Schedule'!$C$15,'Data Sheet'!$A$8:$AX$155,C43,FALSE)))</f>
        <v>#N/A</v>
      </c>
      <c r="E43" s="256" t="s">
        <v>68</v>
      </c>
      <c r="F43" s="214" t="str">
        <f>SUM(('Weekly Feeding Schedule'!$F$20/100)*(VLOOKUP('Weekly Feeding Schedule'!$C$20,'Data Sheet'!$A$8:$AX$155,C43,FALSE)))+(('Weekly Feeding Schedule'!$F$21/100)*(VLOOKUP('Weekly Feeding Schedule'!$C$21,'Data Sheet'!$A$8:$AX$155,C43,FALSE)))+(('Weekly Feeding Schedule'!$F$25/100)*(VLOOKUP('Weekly Feeding Schedule'!$C$25,'Data Sheet'!$A$8:$AX$155,C43,FALSE)))+(('Weekly Feeding Schedule'!$F$26/100)*(VLOOKUP('Weekly Feeding Schedule'!$C$26,'Data Sheet'!$A$8:$AX$155,C43,FALSE)))</f>
        <v>#N/A</v>
      </c>
      <c r="G43" s="215" t="str">
        <f t="shared" si="31"/>
        <v>g</v>
      </c>
      <c r="H43" s="214" t="str">
        <f>SUM(('Weekly Feeding Schedule'!$F$31/100)*(VLOOKUP('Weekly Feeding Schedule'!$C$31,'Data Sheet'!$A$8:$AX$155,C43,FALSE)))+(('Weekly Feeding Schedule'!$F$32/100)*(VLOOKUP('Weekly Feeding Schedule'!$C$32,'Data Sheet'!$A$8:$AX$155,C43,FALSE)))+(('Weekly Feeding Schedule'!$F$36/100)*(VLOOKUP('Weekly Feeding Schedule'!$C$36,'Data Sheet'!$A$8:$AX$155,C43,FALSE)))+(('Weekly Feeding Schedule'!$F$37/100)*(VLOOKUP('Weekly Feeding Schedule'!$C$37,'Data Sheet'!$A$8:$AX$155,C43,FALSE)))</f>
        <v>#N/A</v>
      </c>
      <c r="I43" s="215" t="str">
        <f t="shared" si="32"/>
        <v>g</v>
      </c>
      <c r="J43" s="214" t="str">
        <f>SUM(('Weekly Feeding Schedule'!$F$42/100)*(VLOOKUP('Weekly Feeding Schedule'!$C$42,'Data Sheet'!$A$8:$AX$155,C43,FALSE)))+(('Weekly Feeding Schedule'!$F$43/100)*(VLOOKUP('Weekly Feeding Schedule'!$C$43,'Data Sheet'!$A$8:$AX$155,C43,FALSE)))+(('Weekly Feeding Schedule'!$F$47/100)*(VLOOKUP('Weekly Feeding Schedule'!$C$47,'Data Sheet'!$A$8:$AX$155,C43,FALSE)))+(('Weekly Feeding Schedule'!$F$48/100)*(VLOOKUP('Weekly Feeding Schedule'!$C$48,'Data Sheet'!$A$8:$AX$155,C43,FALSE)))</f>
        <v>#N/A</v>
      </c>
      <c r="K43" s="215" t="str">
        <f t="shared" si="33"/>
        <v>g</v>
      </c>
      <c r="L43" s="214" t="str">
        <f>SUM(('Weekly Feeding Schedule'!$F$53/100)*(VLOOKUP('Weekly Feeding Schedule'!$C$53,'Data Sheet'!$A$8:$AX$155,C43,FALSE)))+(('Weekly Feeding Schedule'!$F$54/100)*(VLOOKUP('Weekly Feeding Schedule'!$C$54,'Data Sheet'!$A$8:$AX$155,C43,FALSE)))+(('Weekly Feeding Schedule'!$F$58/100)*(VLOOKUP('Weekly Feeding Schedule'!$C$58,'Data Sheet'!$A$8:$AX$155,C43,FALSE)))+(('Weekly Feeding Schedule'!$F$59/100)*(VLOOKUP('Weekly Feeding Schedule'!$C$59,'Data Sheet'!$A$8:$AX$155,C43,FALSE)))</f>
        <v>#N/A</v>
      </c>
      <c r="M43" s="215" t="str">
        <f t="shared" si="34"/>
        <v>g</v>
      </c>
      <c r="N43" s="214" t="str">
        <f>SUM(('Weekly Feeding Schedule'!$F$64/100)*(VLOOKUP('Weekly Feeding Schedule'!$C$64,'Data Sheet'!$A$8:$AX$155,C43,FALSE)))+(('Weekly Feeding Schedule'!$F$65/100)*(VLOOKUP('Weekly Feeding Schedule'!$C$65,'Data Sheet'!$A$8:$AX$155,C43,FALSE)))+(('Weekly Feeding Schedule'!$F$69/100)*(VLOOKUP('Weekly Feeding Schedule'!$C$69,'Data Sheet'!$A$8:$AX$155,C43,FALSE)))+(('Weekly Feeding Schedule'!$F$70/100)*(VLOOKUP('Weekly Feeding Schedule'!$C$70,'Data Sheet'!$A$8:$AX$155,C43,FALSE)))</f>
        <v>#N/A</v>
      </c>
      <c r="O43" s="215" t="str">
        <f t="shared" si="35"/>
        <v>g</v>
      </c>
      <c r="P43" s="214" t="str">
        <f>SUM(('Weekly Feeding Schedule'!$F$75/100)*(VLOOKUP('Weekly Feeding Schedule'!$C$75,'Data Sheet'!$A$8:$AX$155,C43,FALSE)))+(('Weekly Feeding Schedule'!$F$76/100)*(VLOOKUP('Weekly Feeding Schedule'!$C$76,'Data Sheet'!$A$8:$AX$155,C43,FALSE)))+(('Weekly Feeding Schedule'!$F$80/100)*(VLOOKUP('Weekly Feeding Schedule'!$C$80,'Data Sheet'!$A$8:$AX$155,C43,FALSE)))+(('Weekly Feeding Schedule'!$F$81/100)*(VLOOKUP('Weekly Feeding Schedule'!$C$81,'Data Sheet'!$A$8:$AX$155,C43,FALSE)))</f>
        <v>#N/A</v>
      </c>
      <c r="Q43" s="216" t="str">
        <f t="shared" si="36"/>
        <v>g</v>
      </c>
      <c r="R43" s="217" t="str">
        <f t="shared" si="37"/>
        <v>#N/A</v>
      </c>
      <c r="S43" s="218" t="str">
        <f t="shared" si="38"/>
        <v>g</v>
      </c>
      <c r="T43" s="234">
        <f>SUM((1.5/1000)*V4)</f>
        <v>0</v>
      </c>
      <c r="U43" s="235" t="str">
        <f t="shared" si="39"/>
        <v>g</v>
      </c>
      <c r="V43" s="234">
        <f>SUM((1.5/1000)*V4)</f>
        <v>0</v>
      </c>
      <c r="W43" s="234" t="str">
        <f t="shared" si="40"/>
        <v>g</v>
      </c>
    </row>
    <row r="44" ht="15.75" customHeight="1">
      <c r="A44" s="222" t="s">
        <v>105</v>
      </c>
      <c r="B44" s="222"/>
      <c r="C44" s="223">
        <f>'Data Sheet'!AE6</f>
        <v>31</v>
      </c>
      <c r="D44" s="224" t="str">
        <f>SUM(('Weekly Feeding Schedule'!$F$9/100)*(VLOOKUP('Weekly Feeding Schedule'!$C$9,'Data Sheet'!$A$8:$AX$155,C44,FALSE)))+(('Weekly Feeding Schedule'!$F$10/100)*(VLOOKUP('Weekly Feeding Schedule'!$C$10,'Data Sheet'!$A$8:$AX$155,C44,FALSE)))+(('Weekly Feeding Schedule'!$F$14/100)*(VLOOKUP('Weekly Feeding Schedule'!$C$14,'Data Sheet'!$A$8:$AX$155,C44,FALSE)))+(('Weekly Feeding Schedule'!$F$15/100)*(VLOOKUP('Weekly Feeding Schedule'!$C$15,'Data Sheet'!$A$8:$AX$155,C44,FALSE)))</f>
        <v>#N/A</v>
      </c>
      <c r="E44" s="255" t="s">
        <v>92</v>
      </c>
      <c r="F44" s="224" t="str">
        <f>SUM(('Weekly Feeding Schedule'!$F$20/100)*(VLOOKUP('Weekly Feeding Schedule'!$C$20,'Data Sheet'!$A$8:$AX$155,C44,FALSE)))+(('Weekly Feeding Schedule'!$F$21/100)*(VLOOKUP('Weekly Feeding Schedule'!$C$21,'Data Sheet'!$A$8:$AX$155,C44,FALSE)))+(('Weekly Feeding Schedule'!$F$25/100)*(VLOOKUP('Weekly Feeding Schedule'!$C$25,'Data Sheet'!$A$8:$AX$155,C44,FALSE)))+(('Weekly Feeding Schedule'!$F$26/100)*(VLOOKUP('Weekly Feeding Schedule'!$C$26,'Data Sheet'!$A$8:$AX$155,C44,FALSE)))</f>
        <v>#N/A</v>
      </c>
      <c r="G44" s="225" t="str">
        <f t="shared" si="31"/>
        <v>mg</v>
      </c>
      <c r="H44" s="224" t="str">
        <f>SUM(('Weekly Feeding Schedule'!$F$31/100)*(VLOOKUP('Weekly Feeding Schedule'!$C$31,'Data Sheet'!$A$8:$AX$155,C44,FALSE)))+(('Weekly Feeding Schedule'!$F$32/100)*(VLOOKUP('Weekly Feeding Schedule'!$C$32,'Data Sheet'!$A$8:$AX$155,C44,FALSE)))+(('Weekly Feeding Schedule'!$F$36/100)*(VLOOKUP('Weekly Feeding Schedule'!$C$36,'Data Sheet'!$A$8:$AX$155,C44,FALSE)))+(('Weekly Feeding Schedule'!$F$37/100)*(VLOOKUP('Weekly Feeding Schedule'!$C$37,'Data Sheet'!$A$8:$AX$155,C44,FALSE)))</f>
        <v>#N/A</v>
      </c>
      <c r="I44" s="225" t="str">
        <f t="shared" si="32"/>
        <v>mg</v>
      </c>
      <c r="J44" s="224" t="str">
        <f>SUM(('Weekly Feeding Schedule'!$F$42/100)*(VLOOKUP('Weekly Feeding Schedule'!$C$42,'Data Sheet'!$A$8:$AX$155,C44,FALSE)))+(('Weekly Feeding Schedule'!$F$43/100)*(VLOOKUP('Weekly Feeding Schedule'!$C$43,'Data Sheet'!$A$8:$AX$155,C44,FALSE)))+(('Weekly Feeding Schedule'!$F$47/100)*(VLOOKUP('Weekly Feeding Schedule'!$C$47,'Data Sheet'!$A$8:$AX$155,C44,FALSE)))+(('Weekly Feeding Schedule'!$F$48/100)*(VLOOKUP('Weekly Feeding Schedule'!$C$48,'Data Sheet'!$A$8:$AX$155,C44,FALSE)))</f>
        <v>#N/A</v>
      </c>
      <c r="K44" s="225" t="str">
        <f t="shared" si="33"/>
        <v>mg</v>
      </c>
      <c r="L44" s="224" t="str">
        <f>SUM(('Weekly Feeding Schedule'!$F$53/100)*(VLOOKUP('Weekly Feeding Schedule'!$C$53,'Data Sheet'!$A$8:$AX$155,C44,FALSE)))+(('Weekly Feeding Schedule'!$F$54/100)*(VLOOKUP('Weekly Feeding Schedule'!$C$54,'Data Sheet'!$A$8:$AX$155,C44,FALSE)))+(('Weekly Feeding Schedule'!$F$58/100)*(VLOOKUP('Weekly Feeding Schedule'!$C$58,'Data Sheet'!$A$8:$AX$155,C44,FALSE)))+(('Weekly Feeding Schedule'!$F$59/100)*(VLOOKUP('Weekly Feeding Schedule'!$C$59,'Data Sheet'!$A$8:$AX$155,C44,FALSE)))</f>
        <v>#N/A</v>
      </c>
      <c r="M44" s="225" t="str">
        <f t="shared" si="34"/>
        <v>mg</v>
      </c>
      <c r="N44" s="224" t="str">
        <f>SUM(('Weekly Feeding Schedule'!$F$64/100)*(VLOOKUP('Weekly Feeding Schedule'!$C$64,'Data Sheet'!$A$8:$AX$155,C44,FALSE)))+(('Weekly Feeding Schedule'!$F$65/100)*(VLOOKUP('Weekly Feeding Schedule'!$C$65,'Data Sheet'!$A$8:$AX$155,C44,FALSE)))+(('Weekly Feeding Schedule'!$F$69/100)*(VLOOKUP('Weekly Feeding Schedule'!$C$69,'Data Sheet'!$A$8:$AX$155,C44,FALSE)))+(('Weekly Feeding Schedule'!$F$70/100)*(VLOOKUP('Weekly Feeding Schedule'!$C$70,'Data Sheet'!$A$8:$AX$155,C44,FALSE)))</f>
        <v>#N/A</v>
      </c>
      <c r="O44" s="225" t="str">
        <f t="shared" si="35"/>
        <v>mg</v>
      </c>
      <c r="P44" s="224" t="str">
        <f>SUM(('Weekly Feeding Schedule'!$F$75/100)*(VLOOKUP('Weekly Feeding Schedule'!$C$75,'Data Sheet'!$A$8:$AX$155,C44,FALSE)))+(('Weekly Feeding Schedule'!$F$76/100)*(VLOOKUP('Weekly Feeding Schedule'!$C$76,'Data Sheet'!$A$8:$AX$155,C44,FALSE)))+(('Weekly Feeding Schedule'!$F$80/100)*(VLOOKUP('Weekly Feeding Schedule'!$C$80,'Data Sheet'!$A$8:$AX$155,C44,FALSE)))+(('Weekly Feeding Schedule'!$F$81/100)*(VLOOKUP('Weekly Feeding Schedule'!$C$81,'Data Sheet'!$A$8:$AX$155,C44,FALSE)))</f>
        <v>#N/A</v>
      </c>
      <c r="Q44" s="226" t="str">
        <f t="shared" si="36"/>
        <v>mg</v>
      </c>
      <c r="R44" s="227" t="str">
        <f t="shared" si="37"/>
        <v>#N/A</v>
      </c>
      <c r="S44" s="228" t="str">
        <f t="shared" si="38"/>
        <v>mg</v>
      </c>
      <c r="T44" s="229">
        <f>SUM((150/1000)*V4)</f>
        <v>0</v>
      </c>
      <c r="U44" s="230" t="str">
        <f t="shared" si="39"/>
        <v>mg</v>
      </c>
      <c r="V44" s="229">
        <f>SUM((150/1000)*V4)</f>
        <v>0</v>
      </c>
      <c r="W44" s="229" t="str">
        <f t="shared" si="40"/>
        <v>mg</v>
      </c>
    </row>
    <row r="45" ht="15.75" customHeight="1">
      <c r="A45" s="232" t="s">
        <v>106</v>
      </c>
      <c r="B45" s="232"/>
      <c r="C45" s="233">
        <f>'Data Sheet'!AF6</f>
        <v>32</v>
      </c>
      <c r="D45" s="214" t="str">
        <f>SUM(('Weekly Feeding Schedule'!$F$9/100)*(VLOOKUP('Weekly Feeding Schedule'!$C$9,'Data Sheet'!$A$8:$AX$155,C45,FALSE)))+(('Weekly Feeding Schedule'!$F$10/100)*(VLOOKUP('Weekly Feeding Schedule'!$C$10,'Data Sheet'!$A$8:$AX$155,C45,FALSE)))+(('Weekly Feeding Schedule'!$F$14/100)*(VLOOKUP('Weekly Feeding Schedule'!$C$14,'Data Sheet'!$A$8:$AX$155,C45,FALSE)))+(('Weekly Feeding Schedule'!$F$15/100)*(VLOOKUP('Weekly Feeding Schedule'!$C$15,'Data Sheet'!$A$8:$AX$155,C45,FALSE)))</f>
        <v>#N/A</v>
      </c>
      <c r="E45" s="256" t="s">
        <v>92</v>
      </c>
      <c r="F45" s="214" t="str">
        <f>SUM(('Weekly Feeding Schedule'!$F$20/100)*(VLOOKUP('Weekly Feeding Schedule'!$C$20,'Data Sheet'!$A$8:$AX$155,C45,FALSE)))+(('Weekly Feeding Schedule'!$F$21/100)*(VLOOKUP('Weekly Feeding Schedule'!$C$21,'Data Sheet'!$A$8:$AX$155,C45,FALSE)))+(('Weekly Feeding Schedule'!$F$25/100)*(VLOOKUP('Weekly Feeding Schedule'!$C$25,'Data Sheet'!$A$8:$AX$155,C45,FALSE)))+(('Weekly Feeding Schedule'!$F$26/100)*(VLOOKUP('Weekly Feeding Schedule'!$C$26,'Data Sheet'!$A$8:$AX$155,C45,FALSE)))</f>
        <v>#N/A</v>
      </c>
      <c r="G45" s="215" t="str">
        <f t="shared" si="31"/>
        <v>mg</v>
      </c>
      <c r="H45" s="214" t="str">
        <f>SUM(('Weekly Feeding Schedule'!$F$31/100)*(VLOOKUP('Weekly Feeding Schedule'!$C$31,'Data Sheet'!$A$8:$AX$155,C45,FALSE)))+(('Weekly Feeding Schedule'!$F$32/100)*(VLOOKUP('Weekly Feeding Schedule'!$C$32,'Data Sheet'!$A$8:$AX$155,C45,FALSE)))+(('Weekly Feeding Schedule'!$F$36/100)*(VLOOKUP('Weekly Feeding Schedule'!$C$36,'Data Sheet'!$A$8:$AX$155,C45,FALSE)))+(('Weekly Feeding Schedule'!$F$37/100)*(VLOOKUP('Weekly Feeding Schedule'!$C$37,'Data Sheet'!$A$8:$AX$155,C45,FALSE)))</f>
        <v>#N/A</v>
      </c>
      <c r="I45" s="215" t="str">
        <f t="shared" si="32"/>
        <v>mg</v>
      </c>
      <c r="J45" s="214" t="str">
        <f>SUM(('Weekly Feeding Schedule'!$F$42/100)*(VLOOKUP('Weekly Feeding Schedule'!$C$42,'Data Sheet'!$A$8:$AX$155,C45,FALSE)))+(('Weekly Feeding Schedule'!$F$43/100)*(VLOOKUP('Weekly Feeding Schedule'!$C$43,'Data Sheet'!$A$8:$AX$155,C45,FALSE)))+(('Weekly Feeding Schedule'!$F$47/100)*(VLOOKUP('Weekly Feeding Schedule'!$C$47,'Data Sheet'!$A$8:$AX$155,C45,FALSE)))+(('Weekly Feeding Schedule'!$F$48/100)*(VLOOKUP('Weekly Feeding Schedule'!$C$48,'Data Sheet'!$A$8:$AX$155,C45,FALSE)))</f>
        <v>#N/A</v>
      </c>
      <c r="K45" s="215" t="str">
        <f t="shared" si="33"/>
        <v>mg</v>
      </c>
      <c r="L45" s="214" t="str">
        <f>SUM(('Weekly Feeding Schedule'!$F$53/100)*(VLOOKUP('Weekly Feeding Schedule'!$C$53,'Data Sheet'!$A$8:$AX$155,C45,FALSE)))+(('Weekly Feeding Schedule'!$F$54/100)*(VLOOKUP('Weekly Feeding Schedule'!$C$54,'Data Sheet'!$A$8:$AX$155,C45,FALSE)))+(('Weekly Feeding Schedule'!$F$58/100)*(VLOOKUP('Weekly Feeding Schedule'!$C$58,'Data Sheet'!$A$8:$AX$155,C45,FALSE)))+(('Weekly Feeding Schedule'!$F$59/100)*(VLOOKUP('Weekly Feeding Schedule'!$C$59,'Data Sheet'!$A$8:$AX$155,C45,FALSE)))</f>
        <v>#N/A</v>
      </c>
      <c r="M45" s="215" t="str">
        <f t="shared" si="34"/>
        <v>mg</v>
      </c>
      <c r="N45" s="214" t="str">
        <f>SUM(('Weekly Feeding Schedule'!$F$64/100)*(VLOOKUP('Weekly Feeding Schedule'!$C$64,'Data Sheet'!$A$8:$AX$155,C45,FALSE)))+(('Weekly Feeding Schedule'!$F$65/100)*(VLOOKUP('Weekly Feeding Schedule'!$C$65,'Data Sheet'!$A$8:$AX$155,C45,FALSE)))+(('Weekly Feeding Schedule'!$F$69/100)*(VLOOKUP('Weekly Feeding Schedule'!$C$69,'Data Sheet'!$A$8:$AX$155,C45,FALSE)))+(('Weekly Feeding Schedule'!$F$70/100)*(VLOOKUP('Weekly Feeding Schedule'!$C$70,'Data Sheet'!$A$8:$AX$155,C45,FALSE)))</f>
        <v>#N/A</v>
      </c>
      <c r="O45" s="215" t="str">
        <f t="shared" si="35"/>
        <v>mg</v>
      </c>
      <c r="P45" s="214" t="str">
        <f>SUM(('Weekly Feeding Schedule'!$F$75/100)*(VLOOKUP('Weekly Feeding Schedule'!$C$75,'Data Sheet'!$A$8:$AX$155,C45,FALSE)))+(('Weekly Feeding Schedule'!$F$76/100)*(VLOOKUP('Weekly Feeding Schedule'!$C$76,'Data Sheet'!$A$8:$AX$155,C45,FALSE)))+(('Weekly Feeding Schedule'!$F$80/100)*(VLOOKUP('Weekly Feeding Schedule'!$C$80,'Data Sheet'!$A$8:$AX$155,C45,FALSE)))+(('Weekly Feeding Schedule'!$F$81/100)*(VLOOKUP('Weekly Feeding Schedule'!$C$81,'Data Sheet'!$A$8:$AX$155,C45,FALSE)))</f>
        <v>#N/A</v>
      </c>
      <c r="Q45" s="216" t="str">
        <f t="shared" si="36"/>
        <v>mg</v>
      </c>
      <c r="R45" s="217" t="str">
        <f t="shared" si="37"/>
        <v>#N/A</v>
      </c>
      <c r="S45" s="218" t="str">
        <f t="shared" si="38"/>
        <v>mg</v>
      </c>
      <c r="T45" s="234">
        <f>SUM((200/1000)*V4)</f>
        <v>0</v>
      </c>
      <c r="U45" s="235" t="str">
        <f t="shared" si="39"/>
        <v>mg</v>
      </c>
      <c r="V45" s="234">
        <f>SUM((800/1000)*V4)</f>
        <v>0</v>
      </c>
      <c r="W45" s="234" t="str">
        <f t="shared" si="40"/>
        <v>mg</v>
      </c>
    </row>
    <row r="46" ht="15.75" customHeight="1">
      <c r="A46" s="222" t="s">
        <v>107</v>
      </c>
      <c r="B46" s="222"/>
      <c r="C46" s="223">
        <f>'Data Sheet'!AG6</f>
        <v>33</v>
      </c>
      <c r="D46" s="224" t="str">
        <f>SUM(('Weekly Feeding Schedule'!$F$9/100)*(VLOOKUP('Weekly Feeding Schedule'!$C$9,'Data Sheet'!$A$8:$AX$155,C46,FALSE)))+(('Weekly Feeding Schedule'!$F$10/100)*(VLOOKUP('Weekly Feeding Schedule'!$C$10,'Data Sheet'!$A$8:$AX$155,C46,FALSE)))+(('Weekly Feeding Schedule'!$F$14/100)*(VLOOKUP('Weekly Feeding Schedule'!$C$14,'Data Sheet'!$A$8:$AX$155,C46,FALSE)))+(('Weekly Feeding Schedule'!$F$15/100)*(VLOOKUP('Weekly Feeding Schedule'!$C$15,'Data Sheet'!$A$8:$AX$155,C46,FALSE)))</f>
        <v>#N/A</v>
      </c>
      <c r="E46" s="255" t="s">
        <v>92</v>
      </c>
      <c r="F46" s="224" t="str">
        <f>SUM(('Weekly Feeding Schedule'!$F$20/100)*(VLOOKUP('Weekly Feeding Schedule'!$C$20,'Data Sheet'!$A$8:$AX$155,C46,FALSE)))+(('Weekly Feeding Schedule'!$F$21/100)*(VLOOKUP('Weekly Feeding Schedule'!$C$21,'Data Sheet'!$A$8:$AX$155,C46,FALSE)))+(('Weekly Feeding Schedule'!$F$25/100)*(VLOOKUP('Weekly Feeding Schedule'!$C$25,'Data Sheet'!$A$8:$AX$155,C46,FALSE)))+(('Weekly Feeding Schedule'!$F$26/100)*(VLOOKUP('Weekly Feeding Schedule'!$C$26,'Data Sheet'!$A$8:$AX$155,C46,FALSE)))</f>
        <v>#N/A</v>
      </c>
      <c r="G46" s="225" t="str">
        <f t="shared" si="31"/>
        <v>mg</v>
      </c>
      <c r="H46" s="224" t="str">
        <f>SUM(('Weekly Feeding Schedule'!$F$31/100)*(VLOOKUP('Weekly Feeding Schedule'!$C$31,'Data Sheet'!$A$8:$AX$155,C46,FALSE)))+(('Weekly Feeding Schedule'!$F$32/100)*(VLOOKUP('Weekly Feeding Schedule'!$C$32,'Data Sheet'!$A$8:$AX$155,C46,FALSE)))+(('Weekly Feeding Schedule'!$F$36/100)*(VLOOKUP('Weekly Feeding Schedule'!$C$36,'Data Sheet'!$A$8:$AX$155,C46,FALSE)))+(('Weekly Feeding Schedule'!$F$37/100)*(VLOOKUP('Weekly Feeding Schedule'!$C$37,'Data Sheet'!$A$8:$AX$155,C46,FALSE)))</f>
        <v>#N/A</v>
      </c>
      <c r="I46" s="225" t="str">
        <f t="shared" si="32"/>
        <v>mg</v>
      </c>
      <c r="J46" s="224" t="str">
        <f>SUM(('Weekly Feeding Schedule'!$F$42/100)*(VLOOKUP('Weekly Feeding Schedule'!$C$42,'Data Sheet'!$A$8:$AX$155,C46,FALSE)))+(('Weekly Feeding Schedule'!$F$43/100)*(VLOOKUP('Weekly Feeding Schedule'!$C$43,'Data Sheet'!$A$8:$AX$155,C46,FALSE)))+(('Weekly Feeding Schedule'!$F$47/100)*(VLOOKUP('Weekly Feeding Schedule'!$C$47,'Data Sheet'!$A$8:$AX$155,C46,FALSE)))+(('Weekly Feeding Schedule'!$F$48/100)*(VLOOKUP('Weekly Feeding Schedule'!$C$48,'Data Sheet'!$A$8:$AX$155,C46,FALSE)))</f>
        <v>#N/A</v>
      </c>
      <c r="K46" s="225" t="str">
        <f t="shared" si="33"/>
        <v>mg</v>
      </c>
      <c r="L46" s="224" t="str">
        <f>SUM(('Weekly Feeding Schedule'!$F$53/100)*(VLOOKUP('Weekly Feeding Schedule'!$C$53,'Data Sheet'!$A$8:$AX$155,C46,FALSE)))+(('Weekly Feeding Schedule'!$F$54/100)*(VLOOKUP('Weekly Feeding Schedule'!$C$54,'Data Sheet'!$A$8:$AX$155,C46,FALSE)))+(('Weekly Feeding Schedule'!$F$58/100)*(VLOOKUP('Weekly Feeding Schedule'!$C$58,'Data Sheet'!$A$8:$AX$155,C46,FALSE)))+(('Weekly Feeding Schedule'!$F$59/100)*(VLOOKUP('Weekly Feeding Schedule'!$C$59,'Data Sheet'!$A$8:$AX$155,C46,FALSE)))</f>
        <v>#N/A</v>
      </c>
      <c r="M46" s="225" t="str">
        <f t="shared" si="34"/>
        <v>mg</v>
      </c>
      <c r="N46" s="224" t="str">
        <f>SUM(('Weekly Feeding Schedule'!$F$64/100)*(VLOOKUP('Weekly Feeding Schedule'!$C$64,'Data Sheet'!$A$8:$AX$155,C46,FALSE)))+(('Weekly Feeding Schedule'!$F$65/100)*(VLOOKUP('Weekly Feeding Schedule'!$C$65,'Data Sheet'!$A$8:$AX$155,C46,FALSE)))+(('Weekly Feeding Schedule'!$F$69/100)*(VLOOKUP('Weekly Feeding Schedule'!$C$69,'Data Sheet'!$A$8:$AX$155,C46,FALSE)))+(('Weekly Feeding Schedule'!$F$70/100)*(VLOOKUP('Weekly Feeding Schedule'!$C$70,'Data Sheet'!$A$8:$AX$155,C46,FALSE)))</f>
        <v>#N/A</v>
      </c>
      <c r="O46" s="225" t="str">
        <f t="shared" si="35"/>
        <v>mg</v>
      </c>
      <c r="P46" s="224" t="str">
        <f>SUM(('Weekly Feeding Schedule'!$F$75/100)*(VLOOKUP('Weekly Feeding Schedule'!$C$75,'Data Sheet'!$A$8:$AX$155,C46,FALSE)))+(('Weekly Feeding Schedule'!$F$76/100)*(VLOOKUP('Weekly Feeding Schedule'!$C$76,'Data Sheet'!$A$8:$AX$155,C46,FALSE)))+(('Weekly Feeding Schedule'!$F$80/100)*(VLOOKUP('Weekly Feeding Schedule'!$C$80,'Data Sheet'!$A$8:$AX$155,C46,FALSE)))+(('Weekly Feeding Schedule'!$F$81/100)*(VLOOKUP('Weekly Feeding Schedule'!$C$81,'Data Sheet'!$A$8:$AX$155,C46,FALSE)))</f>
        <v>#N/A</v>
      </c>
      <c r="Q46" s="226" t="str">
        <f t="shared" si="36"/>
        <v>mg</v>
      </c>
      <c r="R46" s="227" t="str">
        <f t="shared" si="37"/>
        <v>#N/A</v>
      </c>
      <c r="S46" s="228" t="str">
        <f t="shared" si="38"/>
        <v>mg</v>
      </c>
      <c r="T46" s="229">
        <f>SUM((300/1000)*V4)</f>
        <v>0</v>
      </c>
      <c r="U46" s="230" t="str">
        <f t="shared" si="39"/>
        <v>mg</v>
      </c>
      <c r="V46" s="229">
        <f>SUM((1100/1000)*V4)</f>
        <v>0</v>
      </c>
      <c r="W46" s="229" t="str">
        <f t="shared" si="40"/>
        <v>mg</v>
      </c>
    </row>
    <row r="47" ht="15.75" customHeight="1">
      <c r="A47" s="232" t="s">
        <v>108</v>
      </c>
      <c r="B47" s="232"/>
      <c r="C47" s="233">
        <f>'Data Sheet'!AH6</f>
        <v>34</v>
      </c>
      <c r="D47" s="214" t="str">
        <f>SUM(('Weekly Feeding Schedule'!$F$9/100)*(VLOOKUP('Weekly Feeding Schedule'!$C$9,'Data Sheet'!$A$8:$AX$155,C47,FALSE)))+(('Weekly Feeding Schedule'!$F$10/100)*(VLOOKUP('Weekly Feeding Schedule'!$C$10,'Data Sheet'!$A$8:$AX$155,C47,FALSE)))+(('Weekly Feeding Schedule'!$F$14/100)*(VLOOKUP('Weekly Feeding Schedule'!$C$14,'Data Sheet'!$A$8:$AX$155,C47,FALSE)))+(('Weekly Feeding Schedule'!$F$15/100)*(VLOOKUP('Weekly Feeding Schedule'!$C$15,'Data Sheet'!$A$8:$AX$155,C47,FALSE)))</f>
        <v>#N/A</v>
      </c>
      <c r="E47" s="256" t="s">
        <v>92</v>
      </c>
      <c r="F47" s="214" t="str">
        <f>SUM(('Weekly Feeding Schedule'!$F$20/100)*(VLOOKUP('Weekly Feeding Schedule'!$C$20,'Data Sheet'!$A$8:$AX$155,C47,FALSE)))+(('Weekly Feeding Schedule'!$F$21/100)*(VLOOKUP('Weekly Feeding Schedule'!$C$21,'Data Sheet'!$A$8:$AX$155,C47,FALSE)))+(('Weekly Feeding Schedule'!$F$25/100)*(VLOOKUP('Weekly Feeding Schedule'!$C$25,'Data Sheet'!$A$8:$AX$155,C47,FALSE)))+(('Weekly Feeding Schedule'!$F$26/100)*(VLOOKUP('Weekly Feeding Schedule'!$C$26,'Data Sheet'!$A$8:$AX$155,C47,FALSE)))</f>
        <v>#N/A</v>
      </c>
      <c r="G47" s="215" t="str">
        <f t="shared" si="31"/>
        <v>mg</v>
      </c>
      <c r="H47" s="214" t="str">
        <f>SUM(('Weekly Feeding Schedule'!$F$31/100)*(VLOOKUP('Weekly Feeding Schedule'!$C$31,'Data Sheet'!$A$8:$AX$155,C47,FALSE)))+(('Weekly Feeding Schedule'!$F$32/100)*(VLOOKUP('Weekly Feeding Schedule'!$C$32,'Data Sheet'!$A$8:$AX$155,C47,FALSE)))+(('Weekly Feeding Schedule'!$F$36/100)*(VLOOKUP('Weekly Feeding Schedule'!$C$36,'Data Sheet'!$A$8:$AX$155,C47,FALSE)))+(('Weekly Feeding Schedule'!$F$37/100)*(VLOOKUP('Weekly Feeding Schedule'!$C$37,'Data Sheet'!$A$8:$AX$155,C47,FALSE)))</f>
        <v>#N/A</v>
      </c>
      <c r="I47" s="215" t="str">
        <f t="shared" si="32"/>
        <v>mg</v>
      </c>
      <c r="J47" s="214" t="str">
        <f>SUM(('Weekly Feeding Schedule'!$F$42/100)*(VLOOKUP('Weekly Feeding Schedule'!$C$42,'Data Sheet'!$A$8:$AX$155,C47,FALSE)))+(('Weekly Feeding Schedule'!$F$43/100)*(VLOOKUP('Weekly Feeding Schedule'!$C$43,'Data Sheet'!$A$8:$AX$155,C47,FALSE)))+(('Weekly Feeding Schedule'!$F$47/100)*(VLOOKUP('Weekly Feeding Schedule'!$C$47,'Data Sheet'!$A$8:$AX$155,C47,FALSE)))+(('Weekly Feeding Schedule'!$F$48/100)*(VLOOKUP('Weekly Feeding Schedule'!$C$48,'Data Sheet'!$A$8:$AX$155,C47,FALSE)))</f>
        <v>#N/A</v>
      </c>
      <c r="K47" s="215" t="str">
        <f t="shared" si="33"/>
        <v>mg</v>
      </c>
      <c r="L47" s="214" t="str">
        <f>SUM(('Weekly Feeding Schedule'!$F$53/100)*(VLOOKUP('Weekly Feeding Schedule'!$C$53,'Data Sheet'!$A$8:$AX$155,C47,FALSE)))+(('Weekly Feeding Schedule'!$F$54/100)*(VLOOKUP('Weekly Feeding Schedule'!$C$54,'Data Sheet'!$A$8:$AX$155,C47,FALSE)))+(('Weekly Feeding Schedule'!$F$58/100)*(VLOOKUP('Weekly Feeding Schedule'!$C$58,'Data Sheet'!$A$8:$AX$155,C47,FALSE)))+(('Weekly Feeding Schedule'!$F$59/100)*(VLOOKUP('Weekly Feeding Schedule'!$C$59,'Data Sheet'!$A$8:$AX$155,C47,FALSE)))</f>
        <v>#N/A</v>
      </c>
      <c r="M47" s="215" t="str">
        <f t="shared" si="34"/>
        <v>mg</v>
      </c>
      <c r="N47" s="214" t="str">
        <f>SUM(('Weekly Feeding Schedule'!$F$64/100)*(VLOOKUP('Weekly Feeding Schedule'!$C$64,'Data Sheet'!$A$8:$AX$155,C47,FALSE)))+(('Weekly Feeding Schedule'!$F$65/100)*(VLOOKUP('Weekly Feeding Schedule'!$C$65,'Data Sheet'!$A$8:$AX$155,C47,FALSE)))+(('Weekly Feeding Schedule'!$F$69/100)*(VLOOKUP('Weekly Feeding Schedule'!$C$69,'Data Sheet'!$A$8:$AX$155,C47,FALSE)))+(('Weekly Feeding Schedule'!$F$70/100)*(VLOOKUP('Weekly Feeding Schedule'!$C$70,'Data Sheet'!$A$8:$AX$155,C47,FALSE)))</f>
        <v>#N/A</v>
      </c>
      <c r="O47" s="215" t="str">
        <f t="shared" si="35"/>
        <v>mg</v>
      </c>
      <c r="P47" s="214" t="str">
        <f>SUM(('Weekly Feeding Schedule'!$F$75/100)*(VLOOKUP('Weekly Feeding Schedule'!$C$75,'Data Sheet'!$A$8:$AX$155,C47,FALSE)))+(('Weekly Feeding Schedule'!$F$76/100)*(VLOOKUP('Weekly Feeding Schedule'!$C$76,'Data Sheet'!$A$8:$AX$155,C47,FALSE)))+(('Weekly Feeding Schedule'!$F$80/100)*(VLOOKUP('Weekly Feeding Schedule'!$C$80,'Data Sheet'!$A$8:$AX$155,C47,FALSE)))+(('Weekly Feeding Schedule'!$F$81/100)*(VLOOKUP('Weekly Feeding Schedule'!$C$81,'Data Sheet'!$A$8:$AX$155,C47,FALSE)))</f>
        <v>#N/A</v>
      </c>
      <c r="Q47" s="216" t="str">
        <f t="shared" si="36"/>
        <v>mg</v>
      </c>
      <c r="R47" s="217" t="str">
        <f t="shared" si="37"/>
        <v>#N/A</v>
      </c>
      <c r="S47" s="218" t="str">
        <f t="shared" si="38"/>
        <v>mg</v>
      </c>
      <c r="T47" s="234">
        <f>SUM((10/1000)*V4)</f>
        <v>0</v>
      </c>
      <c r="U47" s="235" t="str">
        <f t="shared" si="39"/>
        <v>mg</v>
      </c>
      <c r="V47" s="234">
        <f>SUM((22/1000)*V4)</f>
        <v>0</v>
      </c>
      <c r="W47" s="234" t="str">
        <f t="shared" si="40"/>
        <v>mg</v>
      </c>
    </row>
    <row r="48" ht="15.75" customHeight="1">
      <c r="A48" s="222" t="s">
        <v>109</v>
      </c>
      <c r="B48" s="222"/>
      <c r="C48" s="223">
        <f>'Data Sheet'!AI6</f>
        <v>35</v>
      </c>
      <c r="D48" s="224" t="str">
        <f>SUM(('Weekly Feeding Schedule'!$F$9/100)*(VLOOKUP('Weekly Feeding Schedule'!$C$9,'Data Sheet'!$A$8:$AX$155,C48,FALSE)))+(('Weekly Feeding Schedule'!$F$10/100)*(VLOOKUP('Weekly Feeding Schedule'!$C$10,'Data Sheet'!$A$8:$AX$155,C48,FALSE)))+(('Weekly Feeding Schedule'!$F$14/100)*(VLOOKUP('Weekly Feeding Schedule'!$C$14,'Data Sheet'!$A$8:$AX$155,C48,FALSE)))+(('Weekly Feeding Schedule'!$F$15/100)*(VLOOKUP('Weekly Feeding Schedule'!$C$15,'Data Sheet'!$A$8:$AX$155,C48,FALSE)))</f>
        <v>#N/A</v>
      </c>
      <c r="E48" s="255" t="s">
        <v>92</v>
      </c>
      <c r="F48" s="224" t="str">
        <f>SUM(('Weekly Feeding Schedule'!$F$20/100)*(VLOOKUP('Weekly Feeding Schedule'!$C$20,'Data Sheet'!$A$8:$AX$155,C48,FALSE)))+(('Weekly Feeding Schedule'!$F$21/100)*(VLOOKUP('Weekly Feeding Schedule'!$C$21,'Data Sheet'!$A$8:$AX$155,C48,FALSE)))+(('Weekly Feeding Schedule'!$F$25/100)*(VLOOKUP('Weekly Feeding Schedule'!$C$25,'Data Sheet'!$A$8:$AX$155,C48,FALSE)))+(('Weekly Feeding Schedule'!$F$26/100)*(VLOOKUP('Weekly Feeding Schedule'!$C$26,'Data Sheet'!$A$8:$AX$155,C48,FALSE)))</f>
        <v>#N/A</v>
      </c>
      <c r="G48" s="225" t="str">
        <f t="shared" si="31"/>
        <v>mg</v>
      </c>
      <c r="H48" s="224" t="str">
        <f>SUM(('Weekly Feeding Schedule'!$F$31/100)*(VLOOKUP('Weekly Feeding Schedule'!$C$31,'Data Sheet'!$A$8:$AX$155,C48,FALSE)))+(('Weekly Feeding Schedule'!$F$32/100)*(VLOOKUP('Weekly Feeding Schedule'!$C$32,'Data Sheet'!$A$8:$AX$155,C48,FALSE)))+(('Weekly Feeding Schedule'!$F$36/100)*(VLOOKUP('Weekly Feeding Schedule'!$C$36,'Data Sheet'!$A$8:$AX$155,C48,FALSE)))+(('Weekly Feeding Schedule'!$F$37/100)*(VLOOKUP('Weekly Feeding Schedule'!$C$37,'Data Sheet'!$A$8:$AX$155,C48,FALSE)))</f>
        <v>#N/A</v>
      </c>
      <c r="I48" s="225" t="str">
        <f t="shared" si="32"/>
        <v>mg</v>
      </c>
      <c r="J48" s="224" t="str">
        <f>SUM(('Weekly Feeding Schedule'!$F$42/100)*(VLOOKUP('Weekly Feeding Schedule'!$C$42,'Data Sheet'!$A$8:$AX$155,C48,FALSE)))+(('Weekly Feeding Schedule'!$F$43/100)*(VLOOKUP('Weekly Feeding Schedule'!$C$43,'Data Sheet'!$A$8:$AX$155,C48,FALSE)))+(('Weekly Feeding Schedule'!$F$47/100)*(VLOOKUP('Weekly Feeding Schedule'!$C$47,'Data Sheet'!$A$8:$AX$155,C48,FALSE)))+(('Weekly Feeding Schedule'!$F$48/100)*(VLOOKUP('Weekly Feeding Schedule'!$C$48,'Data Sheet'!$A$8:$AX$155,C48,FALSE)))</f>
        <v>#N/A</v>
      </c>
      <c r="K48" s="225" t="str">
        <f t="shared" si="33"/>
        <v>mg</v>
      </c>
      <c r="L48" s="224" t="str">
        <f>SUM(('Weekly Feeding Schedule'!$F$53/100)*(VLOOKUP('Weekly Feeding Schedule'!$C$53,'Data Sheet'!$A$8:$AX$155,C48,FALSE)))+(('Weekly Feeding Schedule'!$F$54/100)*(VLOOKUP('Weekly Feeding Schedule'!$C$54,'Data Sheet'!$A$8:$AX$155,C48,FALSE)))+(('Weekly Feeding Schedule'!$F$58/100)*(VLOOKUP('Weekly Feeding Schedule'!$C$58,'Data Sheet'!$A$8:$AX$155,C48,FALSE)))+(('Weekly Feeding Schedule'!$F$59/100)*(VLOOKUP('Weekly Feeding Schedule'!$C$59,'Data Sheet'!$A$8:$AX$155,C48,FALSE)))</f>
        <v>#N/A</v>
      </c>
      <c r="M48" s="225" t="str">
        <f t="shared" si="34"/>
        <v>mg</v>
      </c>
      <c r="N48" s="224" t="str">
        <f>SUM(('Weekly Feeding Schedule'!$F$64/100)*(VLOOKUP('Weekly Feeding Schedule'!$C$64,'Data Sheet'!$A$8:$AX$155,C48,FALSE)))+(('Weekly Feeding Schedule'!$F$65/100)*(VLOOKUP('Weekly Feeding Schedule'!$C$65,'Data Sheet'!$A$8:$AX$155,C48,FALSE)))+(('Weekly Feeding Schedule'!$F$69/100)*(VLOOKUP('Weekly Feeding Schedule'!$C$69,'Data Sheet'!$A$8:$AX$155,C48,FALSE)))+(('Weekly Feeding Schedule'!$F$70/100)*(VLOOKUP('Weekly Feeding Schedule'!$C$70,'Data Sheet'!$A$8:$AX$155,C48,FALSE)))</f>
        <v>#N/A</v>
      </c>
      <c r="O48" s="225" t="str">
        <f t="shared" si="35"/>
        <v>mg</v>
      </c>
      <c r="P48" s="224" t="str">
        <f>SUM(('Weekly Feeding Schedule'!$F$75/100)*(VLOOKUP('Weekly Feeding Schedule'!$C$75,'Data Sheet'!$A$8:$AX$155,C48,FALSE)))+(('Weekly Feeding Schedule'!$F$76/100)*(VLOOKUP('Weekly Feeding Schedule'!$C$76,'Data Sheet'!$A$8:$AX$155,C48,FALSE)))+(('Weekly Feeding Schedule'!$F$80/100)*(VLOOKUP('Weekly Feeding Schedule'!$C$80,'Data Sheet'!$A$8:$AX$155,C48,FALSE)))+(('Weekly Feeding Schedule'!$F$81/100)*(VLOOKUP('Weekly Feeding Schedule'!$C$81,'Data Sheet'!$A$8:$AX$155,C48,FALSE)))</f>
        <v>#N/A</v>
      </c>
      <c r="Q48" s="226" t="str">
        <f t="shared" si="36"/>
        <v>mg</v>
      </c>
      <c r="R48" s="227" t="str">
        <f t="shared" si="37"/>
        <v>#N/A</v>
      </c>
      <c r="S48" s="228" t="str">
        <f t="shared" si="38"/>
        <v>mg</v>
      </c>
      <c r="T48" s="229">
        <f>SUM((1.83/1000)*V4)</f>
        <v>0</v>
      </c>
      <c r="U48" s="230" t="str">
        <f t="shared" si="39"/>
        <v>mg</v>
      </c>
      <c r="V48" s="229">
        <f>SUM((3.1/1000)*V4)</f>
        <v>0</v>
      </c>
      <c r="W48" s="229" t="str">
        <f t="shared" si="40"/>
        <v>mg</v>
      </c>
    </row>
    <row r="49" ht="15.75" customHeight="1">
      <c r="A49" s="232" t="s">
        <v>110</v>
      </c>
      <c r="B49" s="232"/>
      <c r="C49" s="233">
        <f>'Data Sheet'!AJ6</f>
        <v>36</v>
      </c>
      <c r="D49" s="214" t="str">
        <f>SUM(('Weekly Feeding Schedule'!$F$9/100)*(VLOOKUP('Weekly Feeding Schedule'!$C$9,'Data Sheet'!$A$8:$AX$155,C49,FALSE)))+(('Weekly Feeding Schedule'!$F$10/100)*(VLOOKUP('Weekly Feeding Schedule'!$C$10,'Data Sheet'!$A$8:$AX$155,C49,FALSE)))+(('Weekly Feeding Schedule'!$F$14/100)*(VLOOKUP('Weekly Feeding Schedule'!$C$14,'Data Sheet'!$A$8:$AX$155,C49,FALSE)))+(('Weekly Feeding Schedule'!$F$15/100)*(VLOOKUP('Weekly Feeding Schedule'!$C$15,'Data Sheet'!$A$8:$AX$155,C49,FALSE)))</f>
        <v>#N/A</v>
      </c>
      <c r="E49" s="256" t="s">
        <v>92</v>
      </c>
      <c r="F49" s="214" t="str">
        <f>SUM(('Weekly Feeding Schedule'!$F$20/100)*(VLOOKUP('Weekly Feeding Schedule'!$C$20,'Data Sheet'!$A$8:$AX$155,C49,FALSE)))+(('Weekly Feeding Schedule'!$F$21/100)*(VLOOKUP('Weekly Feeding Schedule'!$C$21,'Data Sheet'!$A$8:$AX$155,C49,FALSE)))+(('Weekly Feeding Schedule'!$F$25/100)*(VLOOKUP('Weekly Feeding Schedule'!$C$25,'Data Sheet'!$A$8:$AX$155,C49,FALSE)))+(('Weekly Feeding Schedule'!$F$26/100)*(VLOOKUP('Weekly Feeding Schedule'!$C$26,'Data Sheet'!$A$8:$AX$155,C49,FALSE)))</f>
        <v>#N/A</v>
      </c>
      <c r="G49" s="215" t="str">
        <f t="shared" si="31"/>
        <v>mg</v>
      </c>
      <c r="H49" s="214" t="str">
        <f>SUM(('Weekly Feeding Schedule'!$F$31/100)*(VLOOKUP('Weekly Feeding Schedule'!$C$31,'Data Sheet'!$A$8:$AX$155,C49,FALSE)))+(('Weekly Feeding Schedule'!$F$32/100)*(VLOOKUP('Weekly Feeding Schedule'!$C$32,'Data Sheet'!$A$8:$AX$155,C49,FALSE)))+(('Weekly Feeding Schedule'!$F$36/100)*(VLOOKUP('Weekly Feeding Schedule'!$C$36,'Data Sheet'!$A$8:$AX$155,C49,FALSE)))+(('Weekly Feeding Schedule'!$F$37/100)*(VLOOKUP('Weekly Feeding Schedule'!$C$37,'Data Sheet'!$A$8:$AX$155,C49,FALSE)))</f>
        <v>#N/A</v>
      </c>
      <c r="I49" s="215" t="str">
        <f t="shared" si="32"/>
        <v>mg</v>
      </c>
      <c r="J49" s="214" t="str">
        <f>SUM(('Weekly Feeding Schedule'!$F$42/100)*(VLOOKUP('Weekly Feeding Schedule'!$C$42,'Data Sheet'!$A$8:$AX$155,C49,FALSE)))+(('Weekly Feeding Schedule'!$F$43/100)*(VLOOKUP('Weekly Feeding Schedule'!$C$43,'Data Sheet'!$A$8:$AX$155,C49,FALSE)))+(('Weekly Feeding Schedule'!$F$47/100)*(VLOOKUP('Weekly Feeding Schedule'!$C$47,'Data Sheet'!$A$8:$AX$155,C49,FALSE)))+(('Weekly Feeding Schedule'!$F$48/100)*(VLOOKUP('Weekly Feeding Schedule'!$C$48,'Data Sheet'!$A$8:$AX$155,C49,FALSE)))</f>
        <v>#N/A</v>
      </c>
      <c r="K49" s="215" t="str">
        <f t="shared" si="33"/>
        <v>mg</v>
      </c>
      <c r="L49" s="214" t="str">
        <f>SUM(('Weekly Feeding Schedule'!$F$53/100)*(VLOOKUP('Weekly Feeding Schedule'!$C$53,'Data Sheet'!$A$8:$AX$155,C49,FALSE)))+(('Weekly Feeding Schedule'!$F$54/100)*(VLOOKUP('Weekly Feeding Schedule'!$C$54,'Data Sheet'!$A$8:$AX$155,C49,FALSE)))+(('Weekly Feeding Schedule'!$F$58/100)*(VLOOKUP('Weekly Feeding Schedule'!$C$58,'Data Sheet'!$A$8:$AX$155,C49,FALSE)))+(('Weekly Feeding Schedule'!$F$59/100)*(VLOOKUP('Weekly Feeding Schedule'!$C$59,'Data Sheet'!$A$8:$AX$155,C49,FALSE)))</f>
        <v>#N/A</v>
      </c>
      <c r="M49" s="215" t="str">
        <f t="shared" si="34"/>
        <v>mg</v>
      </c>
      <c r="N49" s="214" t="str">
        <f>SUM(('Weekly Feeding Schedule'!$F$64/100)*(VLOOKUP('Weekly Feeding Schedule'!$C$64,'Data Sheet'!$A$8:$AX$155,C49,FALSE)))+(('Weekly Feeding Schedule'!$F$65/100)*(VLOOKUP('Weekly Feeding Schedule'!$C$65,'Data Sheet'!$A$8:$AX$155,C49,FALSE)))+(('Weekly Feeding Schedule'!$F$69/100)*(VLOOKUP('Weekly Feeding Schedule'!$C$69,'Data Sheet'!$A$8:$AX$155,C49,FALSE)))+(('Weekly Feeding Schedule'!$F$70/100)*(VLOOKUP('Weekly Feeding Schedule'!$C$70,'Data Sheet'!$A$8:$AX$155,C49,FALSE)))</f>
        <v>#N/A</v>
      </c>
      <c r="O49" s="215" t="str">
        <f t="shared" si="35"/>
        <v>mg</v>
      </c>
      <c r="P49" s="214" t="str">
        <f>SUM(('Weekly Feeding Schedule'!$F$75/100)*(VLOOKUP('Weekly Feeding Schedule'!$C$75,'Data Sheet'!$A$8:$AX$155,C49,FALSE)))+(('Weekly Feeding Schedule'!$F$76/100)*(VLOOKUP('Weekly Feeding Schedule'!$C$76,'Data Sheet'!$A$8:$AX$155,C49,FALSE)))+(('Weekly Feeding Schedule'!$F$80/100)*(VLOOKUP('Weekly Feeding Schedule'!$C$80,'Data Sheet'!$A$8:$AX$155,C49,FALSE)))+(('Weekly Feeding Schedule'!$F$81/100)*(VLOOKUP('Weekly Feeding Schedule'!$C$81,'Data Sheet'!$A$8:$AX$155,C49,FALSE)))</f>
        <v>#N/A</v>
      </c>
      <c r="Q49" s="216" t="str">
        <f t="shared" si="36"/>
        <v>mg</v>
      </c>
      <c r="R49" s="217" t="str">
        <f t="shared" si="37"/>
        <v>#N/A</v>
      </c>
      <c r="S49" s="218" t="str">
        <f t="shared" si="38"/>
        <v>mg</v>
      </c>
      <c r="T49" s="234">
        <f>SUM((20/1000)*V4)</f>
        <v>0</v>
      </c>
      <c r="U49" s="235" t="str">
        <f t="shared" si="39"/>
        <v>mg</v>
      </c>
      <c r="V49" s="234">
        <f>SUM((25/1000)*V4)</f>
        <v>0</v>
      </c>
      <c r="W49" s="234" t="str">
        <f t="shared" si="40"/>
        <v>mg</v>
      </c>
    </row>
    <row r="50" ht="15.75" customHeight="1">
      <c r="A50" s="222" t="s">
        <v>111</v>
      </c>
      <c r="B50" s="222"/>
      <c r="C50" s="223">
        <f>'Data Sheet'!AK6</f>
        <v>37</v>
      </c>
      <c r="D50" s="224" t="str">
        <f>SUM(('Weekly Feeding Schedule'!$F$9/100)*(VLOOKUP('Weekly Feeding Schedule'!$C$9,'Data Sheet'!$A$8:$AX$155,C50,FALSE)))+(('Weekly Feeding Schedule'!$F$10/100)*(VLOOKUP('Weekly Feeding Schedule'!$C$10,'Data Sheet'!$A$8:$AX$155,C50,FALSE)))+(('Weekly Feeding Schedule'!$F$14/100)*(VLOOKUP('Weekly Feeding Schedule'!$C$14,'Data Sheet'!$A$8:$AX$155,C50,FALSE)))+(('Weekly Feeding Schedule'!$F$15/100)*(VLOOKUP('Weekly Feeding Schedule'!$C$15,'Data Sheet'!$A$8:$AX$155,C50,FALSE)))</f>
        <v>#N/A</v>
      </c>
      <c r="E50" s="255" t="s">
        <v>92</v>
      </c>
      <c r="F50" s="224" t="str">
        <f>SUM(('Weekly Feeding Schedule'!$F$20/100)*(VLOOKUP('Weekly Feeding Schedule'!$C$20,'Data Sheet'!$A$8:$AX$155,C50,FALSE)))+(('Weekly Feeding Schedule'!$F$21/100)*(VLOOKUP('Weekly Feeding Schedule'!$C$21,'Data Sheet'!$A$8:$AX$155,C50,FALSE)))+(('Weekly Feeding Schedule'!$F$25/100)*(VLOOKUP('Weekly Feeding Schedule'!$C$25,'Data Sheet'!$A$8:$AX$155,C50,FALSE)))+(('Weekly Feeding Schedule'!$F$26/100)*(VLOOKUP('Weekly Feeding Schedule'!$C$26,'Data Sheet'!$A$8:$AX$155,C50,FALSE)))</f>
        <v>#N/A</v>
      </c>
      <c r="G50" s="225" t="str">
        <f t="shared" si="31"/>
        <v>mg</v>
      </c>
      <c r="H50" s="224" t="str">
        <f>SUM(('Weekly Feeding Schedule'!$F$31/100)*(VLOOKUP('Weekly Feeding Schedule'!$C$31,'Data Sheet'!$A$8:$AX$155,C50,FALSE)))+(('Weekly Feeding Schedule'!$F$32/100)*(VLOOKUP('Weekly Feeding Schedule'!$C$32,'Data Sheet'!$A$8:$AX$155,C50,FALSE)))+(('Weekly Feeding Schedule'!$F$36/100)*(VLOOKUP('Weekly Feeding Schedule'!$C$36,'Data Sheet'!$A$8:$AX$155,C50,FALSE)))+(('Weekly Feeding Schedule'!$F$37/100)*(VLOOKUP('Weekly Feeding Schedule'!$C$37,'Data Sheet'!$A$8:$AX$155,C50,FALSE)))</f>
        <v>#N/A</v>
      </c>
      <c r="I50" s="225" t="str">
        <f t="shared" si="32"/>
        <v>mg</v>
      </c>
      <c r="J50" s="224" t="str">
        <f>SUM(('Weekly Feeding Schedule'!$F$42/100)*(VLOOKUP('Weekly Feeding Schedule'!$C$42,'Data Sheet'!$A$8:$AX$155,C50,FALSE)))+(('Weekly Feeding Schedule'!$F$43/100)*(VLOOKUP('Weekly Feeding Schedule'!$C$43,'Data Sheet'!$A$8:$AX$155,C50,FALSE)))+(('Weekly Feeding Schedule'!$F$47/100)*(VLOOKUP('Weekly Feeding Schedule'!$C$47,'Data Sheet'!$A$8:$AX$155,C50,FALSE)))+(('Weekly Feeding Schedule'!$F$48/100)*(VLOOKUP('Weekly Feeding Schedule'!$C$48,'Data Sheet'!$A$8:$AX$155,C50,FALSE)))</f>
        <v>#N/A</v>
      </c>
      <c r="K50" s="225" t="str">
        <f t="shared" si="33"/>
        <v>mg</v>
      </c>
      <c r="L50" s="224" t="str">
        <f>SUM(('Weekly Feeding Schedule'!$F$53/100)*(VLOOKUP('Weekly Feeding Schedule'!$C$53,'Data Sheet'!$A$8:$AX$155,C50,FALSE)))+(('Weekly Feeding Schedule'!$F$54/100)*(VLOOKUP('Weekly Feeding Schedule'!$C$54,'Data Sheet'!$A$8:$AX$155,C50,FALSE)))+(('Weekly Feeding Schedule'!$F$58/100)*(VLOOKUP('Weekly Feeding Schedule'!$C$58,'Data Sheet'!$A$8:$AX$155,C50,FALSE)))+(('Weekly Feeding Schedule'!$F$59/100)*(VLOOKUP('Weekly Feeding Schedule'!$C$59,'Data Sheet'!$A$8:$AX$155,C50,FALSE)))</f>
        <v>#N/A</v>
      </c>
      <c r="M50" s="225" t="str">
        <f t="shared" si="34"/>
        <v>mg</v>
      </c>
      <c r="N50" s="224" t="str">
        <f>SUM(('Weekly Feeding Schedule'!$F$64/100)*(VLOOKUP('Weekly Feeding Schedule'!$C$64,'Data Sheet'!$A$8:$AX$155,C50,FALSE)))+(('Weekly Feeding Schedule'!$F$65/100)*(VLOOKUP('Weekly Feeding Schedule'!$C$65,'Data Sheet'!$A$8:$AX$155,C50,FALSE)))+(('Weekly Feeding Schedule'!$F$69/100)*(VLOOKUP('Weekly Feeding Schedule'!$C$69,'Data Sheet'!$A$8:$AX$155,C50,FALSE)))+(('Weekly Feeding Schedule'!$F$70/100)*(VLOOKUP('Weekly Feeding Schedule'!$C$70,'Data Sheet'!$A$8:$AX$155,C50,FALSE)))</f>
        <v>#N/A</v>
      </c>
      <c r="O50" s="225" t="str">
        <f t="shared" si="35"/>
        <v>mg</v>
      </c>
      <c r="P50" s="224" t="str">
        <f>SUM(('Weekly Feeding Schedule'!$F$75/100)*(VLOOKUP('Weekly Feeding Schedule'!$C$75,'Data Sheet'!$A$8:$AX$155,C50,FALSE)))+(('Weekly Feeding Schedule'!$F$76/100)*(VLOOKUP('Weekly Feeding Schedule'!$C$76,'Data Sheet'!$A$8:$AX$155,C50,FALSE)))+(('Weekly Feeding Schedule'!$F$80/100)*(VLOOKUP('Weekly Feeding Schedule'!$C$80,'Data Sheet'!$A$8:$AX$155,C50,FALSE)))+(('Weekly Feeding Schedule'!$F$81/100)*(VLOOKUP('Weekly Feeding Schedule'!$C$81,'Data Sheet'!$A$8:$AX$155,C50,FALSE)))</f>
        <v>#N/A</v>
      </c>
      <c r="Q50" s="226" t="str">
        <f t="shared" si="36"/>
        <v>mg</v>
      </c>
      <c r="R50" s="227" t="str">
        <f t="shared" si="37"/>
        <v>#N/A</v>
      </c>
      <c r="S50" s="228" t="str">
        <f t="shared" si="38"/>
        <v>mg</v>
      </c>
      <c r="T50" s="229">
        <f>SUM((1.25/1000)*V4)</f>
        <v>0</v>
      </c>
      <c r="U50" s="230" t="str">
        <f t="shared" si="39"/>
        <v>mg</v>
      </c>
      <c r="V50" s="229">
        <f>SUM((1.8/1000)*V4)</f>
        <v>0</v>
      </c>
      <c r="W50" s="229" t="str">
        <f t="shared" si="40"/>
        <v>mg</v>
      </c>
    </row>
    <row r="51" ht="15.75" customHeight="1">
      <c r="A51" s="232" t="s">
        <v>112</v>
      </c>
      <c r="B51" s="232"/>
      <c r="C51" s="233">
        <f>'Data Sheet'!AL6</f>
        <v>38</v>
      </c>
      <c r="D51" s="214" t="str">
        <f>SUM(('Weekly Feeding Schedule'!$F$9/100)*(VLOOKUP('Weekly Feeding Schedule'!$C$9,'Data Sheet'!$A$8:$AX$155,C51,FALSE)))+(('Weekly Feeding Schedule'!$F$10/100)*(VLOOKUP('Weekly Feeding Schedule'!$C$10,'Data Sheet'!$A$8:$AX$155,C51,FALSE)))+(('Weekly Feeding Schedule'!$F$14/100)*(VLOOKUP('Weekly Feeding Schedule'!$C$14,'Data Sheet'!$A$8:$AX$155,C51,FALSE)))+(('Weekly Feeding Schedule'!$F$15/100)*(VLOOKUP('Weekly Feeding Schedule'!$C$15,'Data Sheet'!$A$8:$AX$155,C51,FALSE)))</f>
        <v>#N/A</v>
      </c>
      <c r="E51" s="256" t="s">
        <v>89</v>
      </c>
      <c r="F51" s="214" t="str">
        <f>SUM(('Weekly Feeding Schedule'!$F$20/100)*(VLOOKUP('Weekly Feeding Schedule'!$C$20,'Data Sheet'!$A$8:$AX$155,C51,FALSE)))+(('Weekly Feeding Schedule'!$F$21/100)*(VLOOKUP('Weekly Feeding Schedule'!$C$21,'Data Sheet'!$A$8:$AX$155,C51,FALSE)))+(('Weekly Feeding Schedule'!$F$25/100)*(VLOOKUP('Weekly Feeding Schedule'!$C$25,'Data Sheet'!$A$8:$AX$155,C51,FALSE)))+(('Weekly Feeding Schedule'!$F$26/100)*(VLOOKUP('Weekly Feeding Schedule'!$C$26,'Data Sheet'!$A$8:$AX$155,C51,FALSE)))</f>
        <v>#N/A</v>
      </c>
      <c r="G51" s="215" t="str">
        <f t="shared" si="31"/>
        <v>mcg</v>
      </c>
      <c r="H51" s="214" t="str">
        <f>SUM(('Weekly Feeding Schedule'!$F$31/100)*(VLOOKUP('Weekly Feeding Schedule'!$C$31,'Data Sheet'!$A$8:$AX$155,C51,FALSE)))+(('Weekly Feeding Schedule'!$F$32/100)*(VLOOKUP('Weekly Feeding Schedule'!$C$32,'Data Sheet'!$A$8:$AX$155,C51,FALSE)))+(('Weekly Feeding Schedule'!$F$36/100)*(VLOOKUP('Weekly Feeding Schedule'!$C$36,'Data Sheet'!$A$8:$AX$155,C51,FALSE)))+(('Weekly Feeding Schedule'!$F$37/100)*(VLOOKUP('Weekly Feeding Schedule'!$C$37,'Data Sheet'!$A$8:$AX$155,C51,FALSE)))</f>
        <v>#N/A</v>
      </c>
      <c r="I51" s="215" t="str">
        <f t="shared" si="32"/>
        <v>mcg</v>
      </c>
      <c r="J51" s="214" t="str">
        <f>SUM(('Weekly Feeding Schedule'!$F$42/100)*(VLOOKUP('Weekly Feeding Schedule'!$C$42,'Data Sheet'!$A$8:$AX$155,C51,FALSE)))+(('Weekly Feeding Schedule'!$F$43/100)*(VLOOKUP('Weekly Feeding Schedule'!$C$43,'Data Sheet'!$A$8:$AX$155,C51,FALSE)))+(('Weekly Feeding Schedule'!$F$47/100)*(VLOOKUP('Weekly Feeding Schedule'!$C$47,'Data Sheet'!$A$8:$AX$155,C51,FALSE)))+(('Weekly Feeding Schedule'!$F$48/100)*(VLOOKUP('Weekly Feeding Schedule'!$C$48,'Data Sheet'!$A$8:$AX$155,C51,FALSE)))</f>
        <v>#N/A</v>
      </c>
      <c r="K51" s="215" t="str">
        <f t="shared" si="33"/>
        <v>mcg</v>
      </c>
      <c r="L51" s="214" t="str">
        <f>SUM(('Weekly Feeding Schedule'!$F$53/100)*(VLOOKUP('Weekly Feeding Schedule'!$C$53,'Data Sheet'!$A$8:$AX$155,C51,FALSE)))+(('Weekly Feeding Schedule'!$F$54/100)*(VLOOKUP('Weekly Feeding Schedule'!$C$54,'Data Sheet'!$A$8:$AX$155,C51,FALSE)))+(('Weekly Feeding Schedule'!$F$58/100)*(VLOOKUP('Weekly Feeding Schedule'!$C$58,'Data Sheet'!$A$8:$AX$155,C51,FALSE)))+(('Weekly Feeding Schedule'!$F$59/100)*(VLOOKUP('Weekly Feeding Schedule'!$C$59,'Data Sheet'!$A$8:$AX$155,C51,FALSE)))</f>
        <v>#N/A</v>
      </c>
      <c r="M51" s="215" t="str">
        <f t="shared" si="34"/>
        <v>mcg</v>
      </c>
      <c r="N51" s="214" t="str">
        <f>SUM(('Weekly Feeding Schedule'!$F$64/100)*(VLOOKUP('Weekly Feeding Schedule'!$C$64,'Data Sheet'!$A$8:$AX$155,C51,FALSE)))+(('Weekly Feeding Schedule'!$F$65/100)*(VLOOKUP('Weekly Feeding Schedule'!$C$65,'Data Sheet'!$A$8:$AX$155,C51,FALSE)))+(('Weekly Feeding Schedule'!$F$69/100)*(VLOOKUP('Weekly Feeding Schedule'!$C$69,'Data Sheet'!$A$8:$AX$155,C51,FALSE)))+(('Weekly Feeding Schedule'!$F$70/100)*(VLOOKUP('Weekly Feeding Schedule'!$C$70,'Data Sheet'!$A$8:$AX$155,C51,FALSE)))</f>
        <v>#N/A</v>
      </c>
      <c r="O51" s="215" t="str">
        <f t="shared" si="35"/>
        <v>mcg</v>
      </c>
      <c r="P51" s="214" t="str">
        <f>SUM(('Weekly Feeding Schedule'!$F$75/100)*(VLOOKUP('Weekly Feeding Schedule'!$C$75,'Data Sheet'!$A$8:$AX$155,C51,FALSE)))+(('Weekly Feeding Schedule'!$F$76/100)*(VLOOKUP('Weekly Feeding Schedule'!$C$76,'Data Sheet'!$A$8:$AX$155,C51,FALSE)))+(('Weekly Feeding Schedule'!$F$80/100)*(VLOOKUP('Weekly Feeding Schedule'!$C$80,'Data Sheet'!$A$8:$AX$155,C51,FALSE)))+(('Weekly Feeding Schedule'!$F$81/100)*(VLOOKUP('Weekly Feeding Schedule'!$C$81,'Data Sheet'!$A$8:$AX$155,C51,FALSE)))</f>
        <v>#N/A</v>
      </c>
      <c r="Q51" s="216" t="str">
        <f t="shared" si="36"/>
        <v>mcg</v>
      </c>
      <c r="R51" s="217" t="str">
        <f t="shared" si="37"/>
        <v>#N/A</v>
      </c>
      <c r="S51" s="218" t="str">
        <f t="shared" si="38"/>
        <v>mcg</v>
      </c>
      <c r="T51" s="234">
        <f>SUM((80/1000)*V4)</f>
        <v>0</v>
      </c>
      <c r="U51" s="235" t="str">
        <f t="shared" si="39"/>
        <v>mcg</v>
      </c>
      <c r="V51" s="234">
        <f>SUM((90/1000)*V4)</f>
        <v>0</v>
      </c>
      <c r="W51" s="234" t="str">
        <f t="shared" si="40"/>
        <v>mcg</v>
      </c>
    </row>
    <row r="52" ht="15.75" customHeight="1">
      <c r="A52" s="222" t="s">
        <v>113</v>
      </c>
      <c r="B52" s="222"/>
      <c r="C52" s="223">
        <f>'Data Sheet'!AM6</f>
        <v>39</v>
      </c>
      <c r="D52" s="224" t="str">
        <f>SUM(('Weekly Feeding Schedule'!$F$9/100)*(VLOOKUP('Weekly Feeding Schedule'!$C$9,'Data Sheet'!$A$8:$AX$155,C52,FALSE)))+(('Weekly Feeding Schedule'!$F$10/100)*(VLOOKUP('Weekly Feeding Schedule'!$C$10,'Data Sheet'!$A$8:$AX$155,C52,FALSE)))+(('Weekly Feeding Schedule'!$F$14/100)*(VLOOKUP('Weekly Feeding Schedule'!$C$14,'Data Sheet'!$A$8:$AX$155,C52,FALSE)))+(('Weekly Feeding Schedule'!$F$15/100)*(VLOOKUP('Weekly Feeding Schedule'!$C$15,'Data Sheet'!$A$8:$AX$155,C52,FALSE)))</f>
        <v>#N/A</v>
      </c>
      <c r="E52" s="255" t="s">
        <v>89</v>
      </c>
      <c r="F52" s="224" t="str">
        <f>SUM(('Weekly Feeding Schedule'!$F$20/100)*(VLOOKUP('Weekly Feeding Schedule'!$C$20,'Data Sheet'!$A$8:$AX$155,C52,FALSE)))+(('Weekly Feeding Schedule'!$F$21/100)*(VLOOKUP('Weekly Feeding Schedule'!$C$21,'Data Sheet'!$A$8:$AX$155,C52,FALSE)))+(('Weekly Feeding Schedule'!$F$25/100)*(VLOOKUP('Weekly Feeding Schedule'!$C$25,'Data Sheet'!$A$8:$AX$155,C52,FALSE)))+(('Weekly Feeding Schedule'!$F$26/100)*(VLOOKUP('Weekly Feeding Schedule'!$C$26,'Data Sheet'!$A$8:$AX$155,C52,FALSE)))</f>
        <v>#N/A</v>
      </c>
      <c r="G52" s="225" t="str">
        <f t="shared" si="31"/>
        <v>mcg</v>
      </c>
      <c r="H52" s="224" t="str">
        <f>SUM(('Weekly Feeding Schedule'!$F$31/100)*(VLOOKUP('Weekly Feeding Schedule'!$C$31,'Data Sheet'!$A$8:$AX$155,C52,FALSE)))+(('Weekly Feeding Schedule'!$F$32/100)*(VLOOKUP('Weekly Feeding Schedule'!$C$32,'Data Sheet'!$A$8:$AX$155,C52,FALSE)))+(('Weekly Feeding Schedule'!$F$36/100)*(VLOOKUP('Weekly Feeding Schedule'!$C$36,'Data Sheet'!$A$8:$AX$155,C52,FALSE)))+(('Weekly Feeding Schedule'!$F$37/100)*(VLOOKUP('Weekly Feeding Schedule'!$C$37,'Data Sheet'!$A$8:$AX$155,C52,FALSE)))</f>
        <v>#N/A</v>
      </c>
      <c r="I52" s="225" t="str">
        <f t="shared" si="32"/>
        <v>mcg</v>
      </c>
      <c r="J52" s="224" t="str">
        <f>SUM(('Weekly Feeding Schedule'!$F$42/100)*(VLOOKUP('Weekly Feeding Schedule'!$C$42,'Data Sheet'!$A$8:$AX$155,C52,FALSE)))+(('Weekly Feeding Schedule'!$F$43/100)*(VLOOKUP('Weekly Feeding Schedule'!$C$43,'Data Sheet'!$A$8:$AX$155,C52,FALSE)))+(('Weekly Feeding Schedule'!$F$47/100)*(VLOOKUP('Weekly Feeding Schedule'!$C$47,'Data Sheet'!$A$8:$AX$155,C52,FALSE)))+(('Weekly Feeding Schedule'!$F$48/100)*(VLOOKUP('Weekly Feeding Schedule'!$C$48,'Data Sheet'!$A$8:$AX$155,C52,FALSE)))</f>
        <v>#N/A</v>
      </c>
      <c r="K52" s="225" t="str">
        <f t="shared" si="33"/>
        <v>mcg</v>
      </c>
      <c r="L52" s="224" t="str">
        <f>SUM(('Weekly Feeding Schedule'!$F$53/100)*(VLOOKUP('Weekly Feeding Schedule'!$C$53,'Data Sheet'!$A$8:$AX$155,C52,FALSE)))+(('Weekly Feeding Schedule'!$F$54/100)*(VLOOKUP('Weekly Feeding Schedule'!$C$54,'Data Sheet'!$A$8:$AX$155,C52,FALSE)))+(('Weekly Feeding Schedule'!$F$58/100)*(VLOOKUP('Weekly Feeding Schedule'!$C$58,'Data Sheet'!$A$8:$AX$155,C52,FALSE)))+(('Weekly Feeding Schedule'!$F$59/100)*(VLOOKUP('Weekly Feeding Schedule'!$C$59,'Data Sheet'!$A$8:$AX$155,C52,FALSE)))</f>
        <v>#N/A</v>
      </c>
      <c r="M52" s="225" t="str">
        <f t="shared" si="34"/>
        <v>mcg</v>
      </c>
      <c r="N52" s="224" t="str">
        <f>SUM(('Weekly Feeding Schedule'!$F$64/100)*(VLOOKUP('Weekly Feeding Schedule'!$C$64,'Data Sheet'!$A$8:$AX$155,C52,FALSE)))+(('Weekly Feeding Schedule'!$F$65/100)*(VLOOKUP('Weekly Feeding Schedule'!$C$65,'Data Sheet'!$A$8:$AX$155,C52,FALSE)))+(('Weekly Feeding Schedule'!$F$69/100)*(VLOOKUP('Weekly Feeding Schedule'!$C$69,'Data Sheet'!$A$8:$AX$155,C52,FALSE)))+(('Weekly Feeding Schedule'!$F$70/100)*(VLOOKUP('Weekly Feeding Schedule'!$C$70,'Data Sheet'!$A$8:$AX$155,C52,FALSE)))</f>
        <v>#N/A</v>
      </c>
      <c r="O52" s="225" t="str">
        <f t="shared" si="35"/>
        <v>mcg</v>
      </c>
      <c r="P52" s="224" t="str">
        <f>SUM(('Weekly Feeding Schedule'!$F$75/100)*(VLOOKUP('Weekly Feeding Schedule'!$C$75,'Data Sheet'!$A$8:$AX$155,C52,FALSE)))+(('Weekly Feeding Schedule'!$F$76/100)*(VLOOKUP('Weekly Feeding Schedule'!$C$76,'Data Sheet'!$A$8:$AX$155,C52,FALSE)))+(('Weekly Feeding Schedule'!$F$80/100)*(VLOOKUP('Weekly Feeding Schedule'!$C$80,'Data Sheet'!$A$8:$AX$155,C52,FALSE)))+(('Weekly Feeding Schedule'!$F$81/100)*(VLOOKUP('Weekly Feeding Schedule'!$C$81,'Data Sheet'!$A$8:$AX$155,C52,FALSE)))</f>
        <v>#N/A</v>
      </c>
      <c r="Q52" s="226" t="str">
        <f t="shared" si="36"/>
        <v>mcg</v>
      </c>
      <c r="R52" s="260" t="str">
        <f t="shared" si="37"/>
        <v>#N/A</v>
      </c>
      <c r="S52" s="261" t="str">
        <f t="shared" si="38"/>
        <v>mcg</v>
      </c>
      <c r="T52" s="229">
        <f>SUM((250/1000)*V4)</f>
        <v>0</v>
      </c>
      <c r="U52" s="230" t="str">
        <f t="shared" si="39"/>
        <v>mcg</v>
      </c>
      <c r="V52" s="229">
        <f>SUM((250/1000)*V4)</f>
        <v>0</v>
      </c>
      <c r="W52" s="229" t="str">
        <f t="shared" si="40"/>
        <v>mcg</v>
      </c>
    </row>
    <row r="53" ht="15.75" customHeight="1">
      <c r="A53" s="262"/>
      <c r="B53" s="262"/>
      <c r="C53" s="263"/>
      <c r="D53" s="264"/>
      <c r="E53" s="259"/>
      <c r="F53" s="264"/>
      <c r="G53" s="259"/>
      <c r="H53" s="264"/>
      <c r="I53" s="259"/>
      <c r="J53" s="264"/>
      <c r="K53" s="259"/>
      <c r="L53" s="264"/>
      <c r="M53" s="259"/>
      <c r="N53" s="264"/>
      <c r="O53" s="259"/>
      <c r="P53" s="264"/>
      <c r="Q53" s="259"/>
      <c r="R53" s="264"/>
      <c r="S53" s="259"/>
      <c r="T53" s="265"/>
      <c r="U53" s="265"/>
      <c r="V53" s="265"/>
      <c r="W53" s="265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0">
    <mergeCell ref="P28:Q28"/>
    <mergeCell ref="R28:S28"/>
    <mergeCell ref="T28:U28"/>
    <mergeCell ref="V28:W28"/>
    <mergeCell ref="A28:C28"/>
    <mergeCell ref="D28:E28"/>
    <mergeCell ref="F28:G28"/>
    <mergeCell ref="H28:I28"/>
    <mergeCell ref="J28:K28"/>
    <mergeCell ref="L28:M28"/>
    <mergeCell ref="N28:O28"/>
    <mergeCell ref="P40:Q40"/>
    <mergeCell ref="R40:S40"/>
    <mergeCell ref="T40:U40"/>
    <mergeCell ref="V40:W40"/>
    <mergeCell ref="A40:C40"/>
    <mergeCell ref="D40:E40"/>
    <mergeCell ref="F40:G40"/>
    <mergeCell ref="H40:I40"/>
    <mergeCell ref="J40:K40"/>
    <mergeCell ref="L40:M40"/>
    <mergeCell ref="N40:O40"/>
    <mergeCell ref="H6:I6"/>
    <mergeCell ref="J6:K6"/>
    <mergeCell ref="L6:M6"/>
    <mergeCell ref="N6:O6"/>
    <mergeCell ref="P6:Q6"/>
    <mergeCell ref="R6:S6"/>
    <mergeCell ref="T6:U6"/>
    <mergeCell ref="V6:W6"/>
    <mergeCell ref="A1:A4"/>
    <mergeCell ref="B1:W1"/>
    <mergeCell ref="B2:U2"/>
    <mergeCell ref="V2:W2"/>
    <mergeCell ref="B3:U3"/>
    <mergeCell ref="B4:U4"/>
    <mergeCell ref="A6:C6"/>
    <mergeCell ref="L22:M22"/>
    <mergeCell ref="N22:O22"/>
    <mergeCell ref="P22:Q22"/>
    <mergeCell ref="R22:S22"/>
    <mergeCell ref="T22:U22"/>
    <mergeCell ref="V22:W22"/>
    <mergeCell ref="D6:E6"/>
    <mergeCell ref="F6:G6"/>
    <mergeCell ref="A22:C22"/>
    <mergeCell ref="D22:E22"/>
    <mergeCell ref="F22:G22"/>
    <mergeCell ref="H22:I22"/>
    <mergeCell ref="J22:K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33.86"/>
    <col customWidth="1" min="2" max="2" width="15.71"/>
    <col customWidth="1" min="3" max="3" width="14.43"/>
    <col customWidth="1" min="4" max="4" width="8.29"/>
    <col customWidth="1" min="5" max="5" width="8.71"/>
    <col customWidth="1" min="6" max="6" width="7.14"/>
    <col customWidth="1" min="7" max="7" width="9.14"/>
    <col customWidth="1" min="8" max="8" width="8.71"/>
    <col customWidth="1" min="9" max="9" width="5.86"/>
    <col customWidth="1" min="10" max="10" width="6.57"/>
    <col customWidth="1" min="11" max="11" width="4.86"/>
    <col customWidth="1" min="12" max="12" width="11.86"/>
    <col customWidth="1" min="13" max="13" width="12.14"/>
    <col customWidth="1" min="14" max="14" width="13.43"/>
    <col customWidth="1" min="15" max="15" width="14.14"/>
    <col customWidth="1" min="16" max="16" width="11.0"/>
    <col customWidth="1" min="17" max="17" width="11.29"/>
    <col customWidth="1" min="18" max="18" width="10.0"/>
    <col customWidth="1" min="19" max="19" width="17.14"/>
    <col customWidth="1" min="20" max="20" width="14.57"/>
    <col customWidth="1" min="21" max="21" width="13.29"/>
    <col customWidth="1" min="22" max="22" width="14.43"/>
    <col customWidth="1" min="23" max="23" width="9.57"/>
    <col customWidth="1" min="24" max="24" width="11.0"/>
    <col customWidth="1" min="25" max="25" width="12.43"/>
    <col customWidth="1" min="26" max="26" width="11.14"/>
    <col customWidth="1" min="27" max="27" width="14.43"/>
    <col customWidth="1" min="28" max="28" width="11.57"/>
    <col customWidth="1" min="29" max="29" width="16.43"/>
    <col customWidth="1" min="30" max="30" width="13.71"/>
    <col customWidth="1" min="31" max="31" width="16.29"/>
    <col customWidth="1" min="32" max="32" width="12.71"/>
    <col customWidth="1" min="33" max="33" width="13.57"/>
    <col customWidth="1" min="34" max="34" width="9.43"/>
    <col customWidth="1" min="35" max="35" width="12.43"/>
    <col customWidth="1" min="36" max="36" width="9.71"/>
    <col customWidth="1" min="37" max="37" width="16.14"/>
    <col customWidth="1" min="38" max="38" width="15.29"/>
    <col customWidth="1" min="39" max="39" width="12.43"/>
    <col customWidth="1" min="40" max="40" width="14.29"/>
    <col customWidth="1" min="41" max="41" width="15.57"/>
    <col customWidth="1" min="42" max="42" width="14.43"/>
    <col customWidth="1" min="43" max="43" width="17.29"/>
    <col customWidth="1" min="44" max="44" width="19.29"/>
    <col customWidth="1" min="45" max="45" width="15.71"/>
    <col customWidth="1" min="46" max="47" width="15.57"/>
    <col customWidth="1" min="48" max="48" width="20.14"/>
    <col customWidth="1" min="49" max="49" width="17.71"/>
    <col customWidth="1" min="50" max="50" width="12.71"/>
  </cols>
  <sheetData>
    <row r="1" ht="15.75" customHeight="1">
      <c r="A1" s="266" t="s">
        <v>114</v>
      </c>
      <c r="B1" s="267">
        <v>1000.0</v>
      </c>
      <c r="C1" s="268" t="s">
        <v>115</v>
      </c>
      <c r="D1" s="269"/>
      <c r="E1" s="270"/>
      <c r="F1" s="271"/>
      <c r="G1" s="269"/>
      <c r="H1" s="272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3"/>
      <c r="T1" s="273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</row>
    <row r="2" ht="15.75" customHeight="1">
      <c r="A2" s="274" t="s">
        <v>116</v>
      </c>
      <c r="B2" s="275">
        <v>19.0</v>
      </c>
      <c r="C2" s="276" t="s">
        <v>117</v>
      </c>
      <c r="D2" s="269"/>
      <c r="E2" s="270"/>
      <c r="F2" s="271"/>
      <c r="G2" s="269"/>
      <c r="H2" s="272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3"/>
      <c r="T2" s="273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</row>
    <row r="3" ht="15.75" customHeight="1">
      <c r="A3" s="274" t="s">
        <v>118</v>
      </c>
      <c r="B3" s="275">
        <v>219.0</v>
      </c>
      <c r="C3" s="276" t="s">
        <v>68</v>
      </c>
      <c r="D3" s="269"/>
      <c r="E3" s="270"/>
      <c r="F3" s="271"/>
      <c r="G3" s="269"/>
      <c r="H3" s="272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3"/>
      <c r="T3" s="273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</row>
    <row r="4" ht="15.75" customHeight="1">
      <c r="A4" s="274" t="s">
        <v>119</v>
      </c>
      <c r="B4" s="275">
        <v>4.0</v>
      </c>
      <c r="C4" s="276" t="s">
        <v>117</v>
      </c>
      <c r="D4" s="269"/>
      <c r="E4" s="270"/>
      <c r="F4" s="271"/>
      <c r="G4" s="269"/>
      <c r="H4" s="272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3"/>
      <c r="T4" s="273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</row>
    <row r="5" ht="15.75" customHeight="1">
      <c r="A5" s="277" t="s">
        <v>120</v>
      </c>
      <c r="B5" s="278">
        <v>28.35</v>
      </c>
      <c r="C5" s="279" t="s">
        <v>68</v>
      </c>
      <c r="D5" s="269"/>
      <c r="E5" s="270"/>
      <c r="F5" s="271"/>
      <c r="G5" s="269"/>
      <c r="H5" s="272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3"/>
      <c r="T5" s="273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</row>
    <row r="6" ht="15.75" customHeight="1">
      <c r="A6" s="280">
        <v>1.0</v>
      </c>
      <c r="B6" s="280">
        <v>2.0</v>
      </c>
      <c r="C6" s="280">
        <v>3.0</v>
      </c>
      <c r="D6" s="280">
        <v>4.0</v>
      </c>
      <c r="E6" s="280">
        <v>5.0</v>
      </c>
      <c r="F6" s="280">
        <v>6.0</v>
      </c>
      <c r="G6" s="280">
        <v>7.0</v>
      </c>
      <c r="H6" s="280">
        <v>8.0</v>
      </c>
      <c r="I6" s="280">
        <v>9.0</v>
      </c>
      <c r="J6" s="280">
        <v>10.0</v>
      </c>
      <c r="K6" s="280">
        <v>11.0</v>
      </c>
      <c r="L6" s="280">
        <v>12.0</v>
      </c>
      <c r="M6" s="280">
        <v>13.0</v>
      </c>
      <c r="N6" s="280">
        <v>14.0</v>
      </c>
      <c r="O6" s="280">
        <v>15.0</v>
      </c>
      <c r="P6" s="280">
        <v>16.0</v>
      </c>
      <c r="Q6" s="280">
        <v>17.0</v>
      </c>
      <c r="R6" s="280">
        <v>18.0</v>
      </c>
      <c r="S6" s="280">
        <v>19.0</v>
      </c>
      <c r="T6" s="280">
        <v>20.0</v>
      </c>
      <c r="U6" s="280">
        <v>21.0</v>
      </c>
      <c r="V6" s="280">
        <v>22.0</v>
      </c>
      <c r="W6" s="280">
        <v>23.0</v>
      </c>
      <c r="X6" s="280">
        <v>24.0</v>
      </c>
      <c r="Y6" s="280">
        <v>25.0</v>
      </c>
      <c r="Z6" s="280">
        <v>26.0</v>
      </c>
      <c r="AA6" s="280">
        <v>27.0</v>
      </c>
      <c r="AB6" s="280">
        <v>28.0</v>
      </c>
      <c r="AC6" s="280">
        <v>29.0</v>
      </c>
      <c r="AD6" s="280">
        <v>30.0</v>
      </c>
      <c r="AE6" s="280">
        <v>31.0</v>
      </c>
      <c r="AF6" s="280">
        <v>32.0</v>
      </c>
      <c r="AG6" s="280">
        <v>33.0</v>
      </c>
      <c r="AH6" s="280">
        <v>34.0</v>
      </c>
      <c r="AI6" s="280">
        <v>35.0</v>
      </c>
      <c r="AJ6" s="280">
        <v>36.0</v>
      </c>
      <c r="AK6" s="280">
        <v>37.0</v>
      </c>
      <c r="AL6" s="280">
        <v>38.0</v>
      </c>
      <c r="AM6" s="280">
        <v>39.0</v>
      </c>
      <c r="AN6" s="280">
        <v>40.0</v>
      </c>
      <c r="AO6" s="280">
        <v>41.0</v>
      </c>
      <c r="AP6" s="280">
        <v>42.0</v>
      </c>
      <c r="AQ6" s="280">
        <v>43.0</v>
      </c>
      <c r="AR6" s="280">
        <v>44.0</v>
      </c>
      <c r="AS6" s="280">
        <v>45.0</v>
      </c>
      <c r="AT6" s="280">
        <v>46.0</v>
      </c>
      <c r="AU6" s="280">
        <v>47.0</v>
      </c>
      <c r="AV6" s="280">
        <v>48.0</v>
      </c>
      <c r="AW6" s="280">
        <v>49.0</v>
      </c>
      <c r="AX6" s="280">
        <v>50.0</v>
      </c>
    </row>
    <row r="7" ht="15.75" customHeight="1">
      <c r="A7" s="281" t="s">
        <v>121</v>
      </c>
      <c r="B7" s="282" t="s">
        <v>122</v>
      </c>
      <c r="C7" s="283" t="s">
        <v>123</v>
      </c>
      <c r="D7" s="284" t="s">
        <v>40</v>
      </c>
      <c r="E7" s="284" t="s">
        <v>41</v>
      </c>
      <c r="F7" s="284" t="s">
        <v>124</v>
      </c>
      <c r="G7" s="284" t="s">
        <v>125</v>
      </c>
      <c r="H7" s="285" t="s">
        <v>126</v>
      </c>
      <c r="I7" s="284" t="s">
        <v>127</v>
      </c>
      <c r="J7" s="284" t="s">
        <v>128</v>
      </c>
      <c r="K7" s="284" t="s">
        <v>129</v>
      </c>
      <c r="L7" s="284" t="s">
        <v>130</v>
      </c>
      <c r="M7" s="284" t="s">
        <v>131</v>
      </c>
      <c r="N7" s="284" t="s">
        <v>132</v>
      </c>
      <c r="O7" s="284" t="s">
        <v>133</v>
      </c>
      <c r="P7" s="284" t="s">
        <v>134</v>
      </c>
      <c r="Q7" s="284" t="s">
        <v>135</v>
      </c>
      <c r="R7" s="284" t="s">
        <v>136</v>
      </c>
      <c r="S7" s="286" t="s">
        <v>137</v>
      </c>
      <c r="T7" s="286" t="s">
        <v>138</v>
      </c>
      <c r="U7" s="284" t="s">
        <v>139</v>
      </c>
      <c r="V7" s="284" t="s">
        <v>140</v>
      </c>
      <c r="W7" s="284" t="s">
        <v>141</v>
      </c>
      <c r="X7" s="284" t="s">
        <v>142</v>
      </c>
      <c r="Y7" s="284" t="s">
        <v>143</v>
      </c>
      <c r="Z7" s="284" t="s">
        <v>144</v>
      </c>
      <c r="AA7" s="284" t="s">
        <v>145</v>
      </c>
      <c r="AB7" s="284" t="s">
        <v>146</v>
      </c>
      <c r="AC7" s="284" t="s">
        <v>147</v>
      </c>
      <c r="AD7" s="284" t="s">
        <v>148</v>
      </c>
      <c r="AE7" s="284" t="s">
        <v>149</v>
      </c>
      <c r="AF7" s="284" t="s">
        <v>150</v>
      </c>
      <c r="AG7" s="284" t="s">
        <v>151</v>
      </c>
      <c r="AH7" s="284" t="s">
        <v>152</v>
      </c>
      <c r="AI7" s="284" t="s">
        <v>153</v>
      </c>
      <c r="AJ7" s="284" t="s">
        <v>154</v>
      </c>
      <c r="AK7" s="284" t="s">
        <v>155</v>
      </c>
      <c r="AL7" s="284" t="s">
        <v>156</v>
      </c>
      <c r="AM7" s="284" t="s">
        <v>157</v>
      </c>
      <c r="AN7" s="284" t="s">
        <v>158</v>
      </c>
      <c r="AO7" s="284" t="s">
        <v>159</v>
      </c>
      <c r="AP7" s="284" t="s">
        <v>160</v>
      </c>
      <c r="AQ7" s="284" t="s">
        <v>161</v>
      </c>
      <c r="AR7" s="284" t="s">
        <v>162</v>
      </c>
      <c r="AS7" s="284" t="s">
        <v>163</v>
      </c>
      <c r="AT7" s="284" t="s">
        <v>164</v>
      </c>
      <c r="AU7" s="284" t="s">
        <v>165</v>
      </c>
      <c r="AV7" s="284" t="s">
        <v>166</v>
      </c>
      <c r="AW7" s="284" t="s">
        <v>167</v>
      </c>
      <c r="AX7" s="287" t="s">
        <v>168</v>
      </c>
    </row>
    <row r="8" ht="15.75" customHeight="1">
      <c r="A8" s="288" t="s">
        <v>169</v>
      </c>
      <c r="B8" s="289" t="s">
        <v>170</v>
      </c>
      <c r="C8" s="290" t="s">
        <v>171</v>
      </c>
      <c r="D8" s="291">
        <v>0.75</v>
      </c>
      <c r="E8" s="292">
        <v>142.0</v>
      </c>
      <c r="F8" s="292">
        <v>100.0</v>
      </c>
      <c r="G8" s="291">
        <v>0.7219</v>
      </c>
      <c r="H8" s="293">
        <f>SUM( F8)*21.59%</f>
        <v>21.59</v>
      </c>
      <c r="I8" s="292">
        <v>5.53</v>
      </c>
      <c r="J8" s="292">
        <v>0.0</v>
      </c>
      <c r="K8" s="292">
        <v>1.05</v>
      </c>
      <c r="L8" s="292">
        <v>1.396</v>
      </c>
      <c r="M8" s="292">
        <v>0.689</v>
      </c>
      <c r="N8" s="292">
        <v>0.982</v>
      </c>
      <c r="O8" s="292">
        <v>0.562</v>
      </c>
      <c r="P8" s="292">
        <v>0.279</v>
      </c>
      <c r="Q8" s="292">
        <v>1.717</v>
      </c>
      <c r="R8" s="292">
        <v>1.824</v>
      </c>
      <c r="S8" s="294">
        <v>0.853</v>
      </c>
      <c r="T8" s="294">
        <v>0.688</v>
      </c>
      <c r="U8" s="292">
        <v>0.862</v>
      </c>
      <c r="V8" s="292">
        <v>0.142</v>
      </c>
      <c r="W8" s="292">
        <v>1.071</v>
      </c>
      <c r="X8" s="292">
        <v>0.249</v>
      </c>
      <c r="Y8" s="292">
        <v>0.003</v>
      </c>
      <c r="Z8" s="292">
        <v>0.058</v>
      </c>
      <c r="AA8" s="292">
        <v>0.0</v>
      </c>
      <c r="AB8" s="292">
        <v>0.005</v>
      </c>
      <c r="AC8" s="292">
        <v>0.211</v>
      </c>
      <c r="AD8" s="292">
        <v>0.345</v>
      </c>
      <c r="AE8" s="292">
        <f>SUM(0.024)*1000</f>
        <v>24</v>
      </c>
      <c r="AF8" s="292">
        <f>SUM(0.062)*1000</f>
        <v>62</v>
      </c>
      <c r="AG8" s="292">
        <v>62.0</v>
      </c>
      <c r="AH8" s="292">
        <v>2.53</v>
      </c>
      <c r="AI8" s="292">
        <v>0.134</v>
      </c>
      <c r="AJ8" s="292">
        <v>3.94</v>
      </c>
      <c r="AK8" s="292">
        <v>0.019</v>
      </c>
      <c r="AL8" s="292">
        <v>32.3</v>
      </c>
      <c r="AM8" s="292">
        <v>0.0</v>
      </c>
      <c r="AN8" s="292">
        <v>0.0</v>
      </c>
      <c r="AO8" s="292">
        <v>0.0</v>
      </c>
      <c r="AP8" s="292">
        <v>0.08</v>
      </c>
      <c r="AQ8" s="292">
        <v>0.073</v>
      </c>
      <c r="AR8" s="292">
        <v>0.204</v>
      </c>
      <c r="AS8" s="292">
        <v>6.38</v>
      </c>
      <c r="AT8" s="292">
        <v>0.69</v>
      </c>
      <c r="AU8" s="292">
        <v>0.721</v>
      </c>
      <c r="AV8" s="292">
        <v>6.0</v>
      </c>
      <c r="AW8" s="292">
        <v>4.34</v>
      </c>
      <c r="AX8" s="295">
        <v>87.4</v>
      </c>
    </row>
    <row r="9" ht="15.75" customHeight="1">
      <c r="A9" s="296" t="s">
        <v>172</v>
      </c>
      <c r="B9" s="297" t="s">
        <v>170</v>
      </c>
      <c r="C9" s="298" t="s">
        <v>173</v>
      </c>
      <c r="D9" s="299">
        <v>0.75</v>
      </c>
      <c r="E9" s="300">
        <v>143.0</v>
      </c>
      <c r="F9" s="300">
        <v>100.0</v>
      </c>
      <c r="G9" s="299">
        <v>0.7223</v>
      </c>
      <c r="H9" s="301">
        <f>SUM( F9)*21.43%</f>
        <v>21.43</v>
      </c>
      <c r="I9" s="300">
        <v>5.66</v>
      </c>
      <c r="J9" s="300">
        <v>0.0</v>
      </c>
      <c r="K9" s="300">
        <v>1.05</v>
      </c>
      <c r="L9" s="300">
        <v>1.332</v>
      </c>
      <c r="M9" s="300">
        <v>0.856</v>
      </c>
      <c r="N9" s="300">
        <v>1.003</v>
      </c>
      <c r="O9" s="300">
        <v>0.567</v>
      </c>
      <c r="P9" s="300">
        <v>0.273</v>
      </c>
      <c r="Q9" s="300">
        <v>1.719</v>
      </c>
      <c r="R9" s="300">
        <v>1.927</v>
      </c>
      <c r="S9" s="302">
        <v>0.855</v>
      </c>
      <c r="T9" s="302">
        <v>0.747</v>
      </c>
      <c r="U9" s="300">
        <v>0.978</v>
      </c>
      <c r="V9" s="300">
        <v>0.272</v>
      </c>
      <c r="W9" s="300">
        <v>1.162</v>
      </c>
      <c r="X9" s="300">
        <v>0.49</v>
      </c>
      <c r="Y9" s="300">
        <v>0.02</v>
      </c>
      <c r="Z9" s="300">
        <v>0.07</v>
      </c>
      <c r="AA9" s="300">
        <v>0.0</v>
      </c>
      <c r="AB9" s="300">
        <v>0.017</v>
      </c>
      <c r="AC9" s="300">
        <v>0.211</v>
      </c>
      <c r="AD9" s="300">
        <v>0.389</v>
      </c>
      <c r="AE9" s="300">
        <f t="shared" ref="AE9:AE10" si="1">SUM(0.023)*1000</f>
        <v>23</v>
      </c>
      <c r="AF9" s="300">
        <f>SUM(0.052)*1000</f>
        <v>52</v>
      </c>
      <c r="AG9" s="300">
        <v>52.0</v>
      </c>
      <c r="AH9" s="300">
        <v>0.84</v>
      </c>
      <c r="AI9" s="300">
        <v>0.062</v>
      </c>
      <c r="AJ9" s="300">
        <v>1.84</v>
      </c>
      <c r="AK9" s="300">
        <v>0.012</v>
      </c>
      <c r="AL9" s="300">
        <v>36.1</v>
      </c>
      <c r="AM9" s="300">
        <v>0.0</v>
      </c>
      <c r="AN9" s="300">
        <v>2.0</v>
      </c>
      <c r="AO9" s="300">
        <v>0.5</v>
      </c>
      <c r="AP9" s="300">
        <v>0.18</v>
      </c>
      <c r="AQ9" s="300">
        <v>0.989</v>
      </c>
      <c r="AR9" s="300">
        <v>0.267</v>
      </c>
      <c r="AS9" s="300">
        <v>4.915</v>
      </c>
      <c r="AT9" s="300">
        <v>0.781</v>
      </c>
      <c r="AU9" s="300">
        <v>0.527</v>
      </c>
      <c r="AV9" s="300">
        <v>5.0</v>
      </c>
      <c r="AW9" s="300">
        <v>0.63</v>
      </c>
      <c r="AX9" s="303">
        <v>75.6</v>
      </c>
    </row>
    <row r="10" ht="15.75" customHeight="1">
      <c r="A10" s="296" t="s">
        <v>174</v>
      </c>
      <c r="B10" s="297" t="s">
        <v>170</v>
      </c>
      <c r="C10" s="298" t="s">
        <v>175</v>
      </c>
      <c r="D10" s="299">
        <v>0.75</v>
      </c>
      <c r="E10" s="300">
        <v>121.0</v>
      </c>
      <c r="F10" s="300">
        <v>100.0</v>
      </c>
      <c r="G10" s="304">
        <v>0.7622</v>
      </c>
      <c r="H10" s="301">
        <f>SUM(F10* 19.66%)</f>
        <v>19.66</v>
      </c>
      <c r="I10" s="300">
        <v>4.12</v>
      </c>
      <c r="J10" s="300">
        <v>0.0</v>
      </c>
      <c r="K10" s="300">
        <v>0.95</v>
      </c>
      <c r="L10" s="300">
        <v>1.372</v>
      </c>
      <c r="M10" s="300">
        <v>0.587</v>
      </c>
      <c r="N10" s="300">
        <v>0.939</v>
      </c>
      <c r="O10" s="300">
        <v>0.562</v>
      </c>
      <c r="P10" s="300">
        <v>0.23</v>
      </c>
      <c r="Q10" s="300">
        <v>1.675</v>
      </c>
      <c r="R10" s="300">
        <v>1.855</v>
      </c>
      <c r="S10" s="302">
        <v>0.785</v>
      </c>
      <c r="T10" s="302">
        <v>0.739</v>
      </c>
      <c r="U10" s="300">
        <v>0.93</v>
      </c>
      <c r="V10" s="300">
        <v>0.222</v>
      </c>
      <c r="W10" s="300">
        <v>0.956</v>
      </c>
      <c r="X10" s="300">
        <v>0.748</v>
      </c>
      <c r="Y10" s="300">
        <v>0.036</v>
      </c>
      <c r="Z10" s="300">
        <v>0.09</v>
      </c>
      <c r="AA10" s="300">
        <v>0.009</v>
      </c>
      <c r="AB10" s="300">
        <v>0.007</v>
      </c>
      <c r="AC10" s="300">
        <v>0.185</v>
      </c>
      <c r="AD10" s="300">
        <v>0.242</v>
      </c>
      <c r="AE10" s="300">
        <f t="shared" si="1"/>
        <v>23</v>
      </c>
      <c r="AF10" s="300">
        <f>SUM(0.095)*1000</f>
        <v>95</v>
      </c>
      <c r="AG10" s="300">
        <v>95.0</v>
      </c>
      <c r="AH10" s="300">
        <v>0.81</v>
      </c>
      <c r="AI10" s="300">
        <v>0.062</v>
      </c>
      <c r="AJ10" s="300">
        <v>1.58</v>
      </c>
      <c r="AK10" s="300">
        <v>0.013</v>
      </c>
      <c r="AL10" s="300">
        <v>22.9</v>
      </c>
      <c r="AM10" s="300">
        <v>0.0</v>
      </c>
      <c r="AN10" s="300">
        <v>7.0</v>
      </c>
      <c r="AO10" s="300">
        <v>0.0</v>
      </c>
      <c r="AP10" s="300">
        <v>0.18</v>
      </c>
      <c r="AQ10" s="300">
        <v>0.088</v>
      </c>
      <c r="AR10" s="300">
        <v>0.196</v>
      </c>
      <c r="AS10" s="300">
        <v>5.557</v>
      </c>
      <c r="AT10" s="300">
        <v>0.0</v>
      </c>
      <c r="AU10" s="300">
        <v>0.451</v>
      </c>
      <c r="AV10" s="300">
        <v>4.0</v>
      </c>
      <c r="AW10" s="300">
        <v>0.61</v>
      </c>
      <c r="AX10" s="303">
        <v>53.6</v>
      </c>
    </row>
    <row r="11" ht="15.75" customHeight="1">
      <c r="A11" s="296" t="s">
        <v>176</v>
      </c>
      <c r="B11" s="297" t="s">
        <v>170</v>
      </c>
      <c r="C11" s="298" t="s">
        <v>177</v>
      </c>
      <c r="D11" s="299">
        <v>0.75</v>
      </c>
      <c r="E11" s="300">
        <v>125.0</v>
      </c>
      <c r="F11" s="300">
        <v>100.0</v>
      </c>
      <c r="G11" s="304">
        <v>0.7444</v>
      </c>
      <c r="H11" s="301">
        <f>SUM(F11)*20.52%</f>
        <v>20.52</v>
      </c>
      <c r="I11" s="300">
        <v>4.19</v>
      </c>
      <c r="J11" s="300">
        <v>0.0</v>
      </c>
      <c r="K11" s="300">
        <v>1.08</v>
      </c>
      <c r="L11" s="300">
        <v>1.219</v>
      </c>
      <c r="M11" s="300">
        <v>0.65</v>
      </c>
      <c r="N11" s="300">
        <v>0.99</v>
      </c>
      <c r="O11" s="300">
        <v>0.527</v>
      </c>
      <c r="P11" s="300">
        <v>0.245</v>
      </c>
      <c r="Q11" s="300">
        <v>1.596</v>
      </c>
      <c r="R11" s="300">
        <v>1.812</v>
      </c>
      <c r="S11" s="302">
        <v>0.835</v>
      </c>
      <c r="T11" s="302">
        <v>0.69</v>
      </c>
      <c r="U11" s="300">
        <v>0.878</v>
      </c>
      <c r="V11" s="300">
        <v>0.24</v>
      </c>
      <c r="W11" s="300">
        <v>1.107</v>
      </c>
      <c r="X11" s="300">
        <v>0.29</v>
      </c>
      <c r="Y11" s="300">
        <v>0.06</v>
      </c>
      <c r="Z11" s="300">
        <v>0.04</v>
      </c>
      <c r="AA11" s="300">
        <v>0.0</v>
      </c>
      <c r="AB11" s="300">
        <v>0.006</v>
      </c>
      <c r="AC11" s="300">
        <v>0.195</v>
      </c>
      <c r="AD11" s="300">
        <v>0.29</v>
      </c>
      <c r="AE11" s="300">
        <f>SUM(0.027)*1000</f>
        <v>27</v>
      </c>
      <c r="AF11" s="300">
        <f>SUM(0.061)*1000</f>
        <v>61</v>
      </c>
      <c r="AG11" s="300">
        <v>61.0</v>
      </c>
      <c r="AH11" s="300">
        <v>1.82</v>
      </c>
      <c r="AI11" s="300">
        <v>0.124</v>
      </c>
      <c r="AJ11" s="300">
        <v>3.89</v>
      </c>
      <c r="AK11" s="300">
        <v>0.024</v>
      </c>
      <c r="AL11" s="300">
        <v>23.4</v>
      </c>
      <c r="AM11" s="300">
        <v>0.0</v>
      </c>
      <c r="AN11" s="300">
        <v>0.0</v>
      </c>
      <c r="AO11" s="300">
        <v>0.0</v>
      </c>
      <c r="AP11" s="300">
        <v>0.2</v>
      </c>
      <c r="AQ11" s="300">
        <v>0.14</v>
      </c>
      <c r="AR11" s="300">
        <v>0.25</v>
      </c>
      <c r="AS11" s="300">
        <v>6.19</v>
      </c>
      <c r="AT11" s="300">
        <v>0.7</v>
      </c>
      <c r="AU11" s="300">
        <v>0.17</v>
      </c>
      <c r="AV11" s="300">
        <v>23.0</v>
      </c>
      <c r="AW11" s="300">
        <v>2.64</v>
      </c>
      <c r="AX11" s="303">
        <v>0.0</v>
      </c>
    </row>
    <row r="12" ht="15.75" customHeight="1">
      <c r="A12" s="296" t="s">
        <v>178</v>
      </c>
      <c r="B12" s="297" t="s">
        <v>170</v>
      </c>
      <c r="C12" s="298" t="s">
        <v>179</v>
      </c>
      <c r="D12" s="299">
        <v>0.75</v>
      </c>
      <c r="E12" s="300">
        <v>120.0</v>
      </c>
      <c r="F12" s="300">
        <v>100.0</v>
      </c>
      <c r="G12" s="304">
        <v>0.7357</v>
      </c>
      <c r="H12" s="301">
        <f>SUM( F12)*0.2296</f>
        <v>22.96</v>
      </c>
      <c r="I12" s="300">
        <v>2.42</v>
      </c>
      <c r="J12" s="300">
        <v>0.0</v>
      </c>
      <c r="K12" s="300">
        <v>1.16</v>
      </c>
      <c r="L12" s="300">
        <v>1.653</v>
      </c>
      <c r="M12" s="300">
        <v>1.135</v>
      </c>
      <c r="N12" s="300">
        <v>0.908</v>
      </c>
      <c r="O12" s="300">
        <v>0.566</v>
      </c>
      <c r="P12" s="300">
        <v>0.257</v>
      </c>
      <c r="Q12" s="300">
        <v>1.951</v>
      </c>
      <c r="R12" s="300">
        <v>2.006</v>
      </c>
      <c r="S12" s="302">
        <v>0.937</v>
      </c>
      <c r="T12" s="302">
        <v>0.812</v>
      </c>
      <c r="U12" s="300">
        <v>1.08</v>
      </c>
      <c r="V12" s="300">
        <v>0.0</v>
      </c>
      <c r="W12" s="300">
        <v>1.073</v>
      </c>
      <c r="X12" s="300">
        <v>0.31</v>
      </c>
      <c r="Y12" s="300">
        <v>0.07</v>
      </c>
      <c r="Z12" s="300">
        <v>0.1</v>
      </c>
      <c r="AA12" s="300">
        <v>0.0</v>
      </c>
      <c r="AB12" s="300">
        <v>0.005</v>
      </c>
      <c r="AC12" s="300">
        <v>0.202</v>
      </c>
      <c r="AD12" s="300">
        <v>0.318</v>
      </c>
      <c r="AE12" s="300">
        <f>SUM(0.023)*1000</f>
        <v>23</v>
      </c>
      <c r="AF12" s="300">
        <f>SUM(0.051)*1000</f>
        <v>51</v>
      </c>
      <c r="AG12" s="300">
        <v>51.0</v>
      </c>
      <c r="AH12" s="300">
        <v>3.4</v>
      </c>
      <c r="AI12" s="300">
        <v>0.253</v>
      </c>
      <c r="AJ12" s="300">
        <v>2.09</v>
      </c>
      <c r="AK12" s="300">
        <v>0.041</v>
      </c>
      <c r="AL12" s="300">
        <v>9.7</v>
      </c>
      <c r="AM12" s="300">
        <v>0.0</v>
      </c>
      <c r="AN12" s="300">
        <v>0.0</v>
      </c>
      <c r="AO12" s="300">
        <v>0.0</v>
      </c>
      <c r="AP12" s="300">
        <v>0.2</v>
      </c>
      <c r="AQ12" s="300">
        <v>0.22</v>
      </c>
      <c r="AR12" s="300">
        <v>0.48</v>
      </c>
      <c r="AS12" s="300">
        <v>6.37</v>
      </c>
      <c r="AT12" s="300">
        <v>0.0</v>
      </c>
      <c r="AU12" s="300">
        <v>0.37</v>
      </c>
      <c r="AV12" s="300">
        <v>4.0</v>
      </c>
      <c r="AW12" s="300">
        <v>6.31</v>
      </c>
      <c r="AX12" s="303">
        <v>0.0</v>
      </c>
    </row>
    <row r="13" ht="15.75" customHeight="1">
      <c r="A13" s="296" t="s">
        <v>180</v>
      </c>
      <c r="B13" s="297" t="s">
        <v>181</v>
      </c>
      <c r="C13" s="298" t="s">
        <v>182</v>
      </c>
      <c r="D13" s="299">
        <v>0.75</v>
      </c>
      <c r="E13" s="300">
        <v>112.0</v>
      </c>
      <c r="F13" s="300">
        <v>100.0</v>
      </c>
      <c r="G13" s="304">
        <v>0.7711</v>
      </c>
      <c r="H13" s="301">
        <f>SUM( F13)*0.1772</f>
        <v>17.72</v>
      </c>
      <c r="I13" s="300">
        <v>3.94</v>
      </c>
      <c r="J13" s="300">
        <v>0.14</v>
      </c>
      <c r="K13" s="300">
        <v>1.1</v>
      </c>
      <c r="L13" s="300">
        <v>0.0</v>
      </c>
      <c r="M13" s="300">
        <v>0.0</v>
      </c>
      <c r="N13" s="300">
        <v>0.0</v>
      </c>
      <c r="O13" s="300">
        <v>0.0</v>
      </c>
      <c r="P13" s="300">
        <v>0.0</v>
      </c>
      <c r="Q13" s="300">
        <v>0.0</v>
      </c>
      <c r="R13" s="300">
        <v>0.0</v>
      </c>
      <c r="S13" s="302">
        <v>0.0</v>
      </c>
      <c r="T13" s="302">
        <v>0.0</v>
      </c>
      <c r="U13" s="300">
        <v>0.0</v>
      </c>
      <c r="V13" s="300">
        <v>0.0</v>
      </c>
      <c r="W13" s="300">
        <v>0.0</v>
      </c>
      <c r="X13" s="300">
        <v>0.395</v>
      </c>
      <c r="Y13" s="300">
        <v>0.016</v>
      </c>
      <c r="Z13" s="300">
        <v>0.128</v>
      </c>
      <c r="AA13" s="300">
        <v>0.0</v>
      </c>
      <c r="AB13" s="300">
        <v>0.007</v>
      </c>
      <c r="AC13" s="300">
        <v>0.212</v>
      </c>
      <c r="AD13" s="300">
        <v>0.287</v>
      </c>
      <c r="AE13" s="300">
        <f>SUM(0.021)*1000</f>
        <v>21</v>
      </c>
      <c r="AF13" s="300">
        <f>SUM(0.098)*1000</f>
        <v>98</v>
      </c>
      <c r="AG13" s="300">
        <v>98.0</v>
      </c>
      <c r="AH13" s="300">
        <v>4.31</v>
      </c>
      <c r="AI13" s="300">
        <v>0.396</v>
      </c>
      <c r="AJ13" s="300">
        <v>1.7</v>
      </c>
      <c r="AK13" s="300">
        <v>0.035</v>
      </c>
      <c r="AL13" s="300">
        <v>21.8</v>
      </c>
      <c r="AM13" s="300">
        <v>0.0</v>
      </c>
      <c r="AN13" s="300">
        <v>0.0</v>
      </c>
      <c r="AO13" s="300">
        <v>0.0</v>
      </c>
      <c r="AP13" s="300">
        <v>0.22</v>
      </c>
      <c r="AQ13" s="300">
        <v>0.238</v>
      </c>
      <c r="AR13" s="300">
        <v>0.906</v>
      </c>
      <c r="AS13" s="300">
        <v>7.53</v>
      </c>
      <c r="AT13" s="300">
        <v>1.79</v>
      </c>
      <c r="AU13" s="300">
        <v>0.279</v>
      </c>
      <c r="AV13" s="300">
        <v>3.0</v>
      </c>
      <c r="AW13" s="300">
        <v>8.55</v>
      </c>
      <c r="AX13" s="303">
        <v>0.0</v>
      </c>
    </row>
    <row r="14" ht="15.75" customHeight="1">
      <c r="A14" s="296" t="s">
        <v>183</v>
      </c>
      <c r="B14" s="297" t="s">
        <v>181</v>
      </c>
      <c r="C14" s="298" t="s">
        <v>184</v>
      </c>
      <c r="D14" s="299">
        <v>0.75</v>
      </c>
      <c r="E14" s="300">
        <v>118.0</v>
      </c>
      <c r="F14" s="300">
        <v>100.0</v>
      </c>
      <c r="G14" s="304">
        <v>0.7621</v>
      </c>
      <c r="H14" s="301">
        <f>SUM( F14)*0.1727</f>
        <v>17.27</v>
      </c>
      <c r="I14" s="300">
        <v>4.36</v>
      </c>
      <c r="J14" s="300">
        <v>1.33</v>
      </c>
      <c r="K14" s="300">
        <v>0.84</v>
      </c>
      <c r="L14" s="300">
        <v>1.16</v>
      </c>
      <c r="M14" s="300">
        <v>0.439</v>
      </c>
      <c r="N14" s="300">
        <v>0.831</v>
      </c>
      <c r="O14" s="300">
        <v>0.442</v>
      </c>
      <c r="P14" s="300">
        <v>0.309</v>
      </c>
      <c r="Q14" s="300">
        <v>1.558</v>
      </c>
      <c r="R14" s="300">
        <v>1.428</v>
      </c>
      <c r="S14" s="302">
        <v>0.762</v>
      </c>
      <c r="T14" s="302">
        <v>0.591</v>
      </c>
      <c r="U14" s="300">
        <v>0.757</v>
      </c>
      <c r="V14" s="300">
        <v>0.199</v>
      </c>
      <c r="W14" s="300">
        <v>0.914</v>
      </c>
      <c r="X14" s="300">
        <v>0.77</v>
      </c>
      <c r="Y14" s="300">
        <v>0.08</v>
      </c>
      <c r="Z14" s="300">
        <v>0.27</v>
      </c>
      <c r="AA14" s="300">
        <v>0.0</v>
      </c>
      <c r="AB14" s="300">
        <v>0.005</v>
      </c>
      <c r="AC14" s="300">
        <v>0.169</v>
      </c>
      <c r="AD14" s="300">
        <v>0.294</v>
      </c>
      <c r="AE14" s="300">
        <f>SUM(0.019)*1000</f>
        <v>19</v>
      </c>
      <c r="AF14" s="300">
        <f>SUM(0.056)*1000</f>
        <v>56</v>
      </c>
      <c r="AG14" s="300">
        <v>56.0</v>
      </c>
      <c r="AH14" s="300">
        <v>4.68</v>
      </c>
      <c r="AI14" s="300">
        <v>0.408</v>
      </c>
      <c r="AJ14" s="300">
        <v>2.8</v>
      </c>
      <c r="AK14" s="300">
        <v>0.063</v>
      </c>
      <c r="AL14" s="300">
        <v>10.4</v>
      </c>
      <c r="AM14" s="300">
        <v>0.0</v>
      </c>
      <c r="AN14" s="300">
        <v>8.0</v>
      </c>
      <c r="AO14" s="300">
        <v>0.0</v>
      </c>
      <c r="AP14" s="300">
        <v>0.63</v>
      </c>
      <c r="AQ14" s="300">
        <v>0.613</v>
      </c>
      <c r="AR14" s="300">
        <v>1.185</v>
      </c>
      <c r="AS14" s="300">
        <v>6.765</v>
      </c>
      <c r="AT14" s="300">
        <v>2.515</v>
      </c>
      <c r="AU14" s="300">
        <v>0.39</v>
      </c>
      <c r="AV14" s="300">
        <v>4.0</v>
      </c>
      <c r="AW14" s="300">
        <v>3.79</v>
      </c>
      <c r="AX14" s="303">
        <v>0.0</v>
      </c>
    </row>
    <row r="15" ht="15.75" customHeight="1">
      <c r="A15" s="305" t="s">
        <v>185</v>
      </c>
      <c r="B15" s="297" t="s">
        <v>181</v>
      </c>
      <c r="C15" s="298" t="s">
        <v>186</v>
      </c>
      <c r="D15" s="299">
        <v>0.75</v>
      </c>
      <c r="E15" s="300">
        <v>153.0</v>
      </c>
      <c r="F15" s="300">
        <v>100.0</v>
      </c>
      <c r="G15" s="299">
        <v>0.7356</v>
      </c>
      <c r="H15" s="301">
        <f>SUM( F15)*0.1555</f>
        <v>15.55</v>
      </c>
      <c r="I15" s="300">
        <v>9.33</v>
      </c>
      <c r="J15" s="300">
        <v>0.71</v>
      </c>
      <c r="K15" s="300">
        <v>0.85</v>
      </c>
      <c r="L15" s="300">
        <v>0.997</v>
      </c>
      <c r="M15" s="300">
        <v>0.408</v>
      </c>
      <c r="N15" s="300">
        <v>0.833</v>
      </c>
      <c r="O15" s="300">
        <v>0.376</v>
      </c>
      <c r="P15" s="300">
        <v>0.211</v>
      </c>
      <c r="Q15" s="300">
        <v>1.355</v>
      </c>
      <c r="R15" s="300">
        <v>1.303</v>
      </c>
      <c r="S15" s="302">
        <v>0.696</v>
      </c>
      <c r="T15" s="302">
        <v>0.557</v>
      </c>
      <c r="U15" s="300">
        <v>0.704</v>
      </c>
      <c r="V15" s="300">
        <v>0.199</v>
      </c>
      <c r="W15" s="300">
        <v>0.88</v>
      </c>
      <c r="X15" s="300">
        <v>1.91</v>
      </c>
      <c r="Y15" s="300">
        <v>0.07</v>
      </c>
      <c r="Z15" s="300">
        <v>0.72</v>
      </c>
      <c r="AA15" s="300">
        <v>0.0</v>
      </c>
      <c r="AB15" s="300">
        <v>0.012</v>
      </c>
      <c r="AC15" s="300">
        <v>0.177</v>
      </c>
      <c r="AD15" s="300">
        <v>0.176</v>
      </c>
      <c r="AE15" s="300">
        <f>SUM(0.015)*1000</f>
        <v>15</v>
      </c>
      <c r="AF15" s="300">
        <f>SUM(0.074)*1000</f>
        <v>74</v>
      </c>
      <c r="AG15" s="300">
        <v>74.0</v>
      </c>
      <c r="AH15" s="300">
        <v>5.96</v>
      </c>
      <c r="AI15" s="300">
        <v>0.346</v>
      </c>
      <c r="AJ15" s="300">
        <v>6.59</v>
      </c>
      <c r="AK15" s="300">
        <v>0.089</v>
      </c>
      <c r="AL15" s="300">
        <v>4.3</v>
      </c>
      <c r="AM15" s="300">
        <v>0.0</v>
      </c>
      <c r="AN15" s="300">
        <v>9.0</v>
      </c>
      <c r="AO15" s="300">
        <v>0.0</v>
      </c>
      <c r="AP15" s="300">
        <v>0.0</v>
      </c>
      <c r="AQ15" s="300">
        <v>0.152</v>
      </c>
      <c r="AR15" s="300">
        <v>0.728</v>
      </c>
      <c r="AS15" s="300">
        <v>4.883</v>
      </c>
      <c r="AT15" s="300">
        <v>2.559</v>
      </c>
      <c r="AU15" s="300">
        <v>0.36</v>
      </c>
      <c r="AV15" s="300">
        <v>72.0</v>
      </c>
      <c r="AW15" s="300">
        <v>7.29</v>
      </c>
      <c r="AX15" s="303">
        <v>0.0</v>
      </c>
    </row>
    <row r="16" ht="15.75" customHeight="1">
      <c r="A16" s="305" t="s">
        <v>187</v>
      </c>
      <c r="B16" s="297" t="s">
        <v>181</v>
      </c>
      <c r="C16" s="298" t="s">
        <v>188</v>
      </c>
      <c r="D16" s="299">
        <v>0.75</v>
      </c>
      <c r="E16" s="300">
        <v>122.0</v>
      </c>
      <c r="F16" s="300">
        <v>100.0</v>
      </c>
      <c r="G16" s="299">
        <v>0.7671</v>
      </c>
      <c r="H16" s="301">
        <f>SUM( F16)*0.1647</f>
        <v>16.47</v>
      </c>
      <c r="I16" s="300">
        <v>5.68</v>
      </c>
      <c r="J16" s="300">
        <v>0.21</v>
      </c>
      <c r="K16" s="300">
        <v>0.93</v>
      </c>
      <c r="L16" s="300">
        <v>1.077</v>
      </c>
      <c r="M16" s="300">
        <v>0.377</v>
      </c>
      <c r="N16" s="300">
        <v>0.714</v>
      </c>
      <c r="O16" s="300">
        <v>0.361</v>
      </c>
      <c r="P16" s="300">
        <v>0.138</v>
      </c>
      <c r="Q16" s="300">
        <v>1.401</v>
      </c>
      <c r="R16" s="300">
        <v>1.24</v>
      </c>
      <c r="S16" s="302">
        <v>0.712</v>
      </c>
      <c r="T16" s="302">
        <v>0.513</v>
      </c>
      <c r="U16" s="300">
        <v>0.777</v>
      </c>
      <c r="V16" s="300">
        <v>0.178</v>
      </c>
      <c r="W16" s="300">
        <v>0.819</v>
      </c>
      <c r="X16" s="300">
        <v>0.24</v>
      </c>
      <c r="Y16" s="300">
        <v>0.13</v>
      </c>
      <c r="Z16" s="300">
        <v>0.09</v>
      </c>
      <c r="AA16" s="300">
        <v>0.07</v>
      </c>
      <c r="AB16" s="300">
        <v>0.006</v>
      </c>
      <c r="AC16" s="300">
        <v>0.175</v>
      </c>
      <c r="AD16" s="300">
        <v>0.316</v>
      </c>
      <c r="AE16" s="300">
        <f>SUM(0.017)*1000</f>
        <v>17</v>
      </c>
      <c r="AF16" s="300">
        <f>SUM(0.089)*1000</f>
        <v>89</v>
      </c>
      <c r="AG16" s="300">
        <v>89.0</v>
      </c>
      <c r="AH16" s="300">
        <v>4.6</v>
      </c>
      <c r="AI16" s="300">
        <v>0.397</v>
      </c>
      <c r="AJ16" s="300">
        <v>1.87</v>
      </c>
      <c r="AK16" s="300">
        <v>0.046</v>
      </c>
      <c r="AL16" s="300">
        <v>32.0</v>
      </c>
      <c r="AM16" s="300">
        <v>0.0</v>
      </c>
      <c r="AN16" s="300">
        <v>0.0</v>
      </c>
      <c r="AO16" s="300">
        <v>0.0</v>
      </c>
      <c r="AP16" s="300">
        <v>0.0</v>
      </c>
      <c r="AQ16" s="300">
        <v>0.37</v>
      </c>
      <c r="AR16" s="300">
        <v>0.99</v>
      </c>
      <c r="AS16" s="300">
        <v>6.14</v>
      </c>
      <c r="AT16" s="300">
        <v>2.63</v>
      </c>
      <c r="AU16" s="300">
        <v>0.39</v>
      </c>
      <c r="AV16" s="300">
        <v>2.0</v>
      </c>
      <c r="AW16" s="300">
        <v>10.25</v>
      </c>
      <c r="AX16" s="303">
        <v>0.0</v>
      </c>
    </row>
    <row r="17" ht="15.75" customHeight="1">
      <c r="A17" s="305" t="s">
        <v>189</v>
      </c>
      <c r="B17" s="306" t="s">
        <v>190</v>
      </c>
      <c r="C17" s="298" t="s">
        <v>191</v>
      </c>
      <c r="D17" s="299">
        <v>0.25</v>
      </c>
      <c r="E17" s="300">
        <v>135.0</v>
      </c>
      <c r="F17" s="300">
        <v>100.0</v>
      </c>
      <c r="G17" s="299">
        <v>0.7081</v>
      </c>
      <c r="H17" s="301">
        <f>SUM( F17)*0.2036</f>
        <v>20.36</v>
      </c>
      <c r="I17" s="300">
        <v>3.63</v>
      </c>
      <c r="J17" s="300">
        <v>3.89</v>
      </c>
      <c r="K17" s="300">
        <v>1.31</v>
      </c>
      <c r="L17" s="300">
        <v>1.241</v>
      </c>
      <c r="M17" s="300">
        <v>0.629</v>
      </c>
      <c r="N17" s="300">
        <v>0.967</v>
      </c>
      <c r="O17" s="300">
        <v>0.543</v>
      </c>
      <c r="P17" s="300">
        <v>0.376</v>
      </c>
      <c r="Q17" s="300">
        <v>1.91</v>
      </c>
      <c r="R17" s="300">
        <v>1.607</v>
      </c>
      <c r="S17" s="302">
        <v>1.08</v>
      </c>
      <c r="T17" s="302">
        <v>0.807</v>
      </c>
      <c r="U17" s="300">
        <v>0.869</v>
      </c>
      <c r="V17" s="300">
        <v>0.263</v>
      </c>
      <c r="W17" s="300">
        <v>1.26</v>
      </c>
      <c r="X17" s="300">
        <v>0.299</v>
      </c>
      <c r="Y17" s="300">
        <v>0.016</v>
      </c>
      <c r="Z17" s="300">
        <v>0.141</v>
      </c>
      <c r="AA17" s="300">
        <v>0.0</v>
      </c>
      <c r="AB17" s="300">
        <v>0.005</v>
      </c>
      <c r="AC17" s="300">
        <v>0.387</v>
      </c>
      <c r="AD17" s="300">
        <v>0.313</v>
      </c>
      <c r="AE17" s="300">
        <f>SUM(0.018)*1000</f>
        <v>18</v>
      </c>
      <c r="AF17" s="300">
        <f>SUM(0.069)*1000</f>
        <v>69</v>
      </c>
      <c r="AG17" s="300">
        <v>69.0</v>
      </c>
      <c r="AH17" s="300">
        <v>4.9</v>
      </c>
      <c r="AI17" s="300">
        <v>9.755</v>
      </c>
      <c r="AJ17" s="300">
        <v>4.0</v>
      </c>
      <c r="AK17" s="300">
        <v>0.31</v>
      </c>
      <c r="AL17" s="300">
        <v>39.7</v>
      </c>
      <c r="AM17" s="300">
        <v>0.0</v>
      </c>
      <c r="AN17" s="300">
        <v>4948.0</v>
      </c>
      <c r="AO17" s="300">
        <v>1.2</v>
      </c>
      <c r="AP17" s="300">
        <v>0.38</v>
      </c>
      <c r="AQ17" s="300">
        <v>0.189</v>
      </c>
      <c r="AR17" s="300">
        <v>2.755</v>
      </c>
      <c r="AS17" s="300">
        <v>13.175</v>
      </c>
      <c r="AT17" s="300">
        <v>7.173</v>
      </c>
      <c r="AU17" s="300">
        <v>1.083</v>
      </c>
      <c r="AV17" s="300">
        <v>290.0</v>
      </c>
      <c r="AW17" s="300">
        <v>59.3</v>
      </c>
      <c r="AX17" s="303">
        <v>333.3</v>
      </c>
    </row>
    <row r="18" ht="15.75" customHeight="1">
      <c r="A18" s="305" t="s">
        <v>192</v>
      </c>
      <c r="B18" s="306" t="s">
        <v>190</v>
      </c>
      <c r="C18" s="298" t="s">
        <v>193</v>
      </c>
      <c r="D18" s="299">
        <v>0.25</v>
      </c>
      <c r="E18" s="300">
        <v>99.0</v>
      </c>
      <c r="F18" s="300">
        <v>100.0</v>
      </c>
      <c r="G18" s="299">
        <v>0.7789</v>
      </c>
      <c r="H18" s="301">
        <f>SUM( F18)*0.174</f>
        <v>17.4</v>
      </c>
      <c r="I18" s="300">
        <v>3.09</v>
      </c>
      <c r="J18" s="300">
        <v>0.29</v>
      </c>
      <c r="K18" s="300">
        <v>1.33</v>
      </c>
      <c r="L18" s="300">
        <v>0.0</v>
      </c>
      <c r="M18" s="300">
        <v>0.0</v>
      </c>
      <c r="N18" s="300">
        <v>0.0</v>
      </c>
      <c r="O18" s="300">
        <v>0.0</v>
      </c>
      <c r="P18" s="300">
        <v>0.0</v>
      </c>
      <c r="Q18" s="300">
        <v>0.0</v>
      </c>
      <c r="R18" s="300">
        <v>0.0</v>
      </c>
      <c r="S18" s="302">
        <v>0.0</v>
      </c>
      <c r="T18" s="302">
        <v>0.0</v>
      </c>
      <c r="U18" s="300">
        <v>0.0</v>
      </c>
      <c r="V18" s="300">
        <v>0.0</v>
      </c>
      <c r="W18" s="300">
        <v>0.0</v>
      </c>
      <c r="X18" s="300">
        <v>0.292</v>
      </c>
      <c r="Y18" s="300">
        <v>0.013</v>
      </c>
      <c r="Z18" s="300">
        <v>0.228</v>
      </c>
      <c r="AA18" s="300">
        <v>0.0</v>
      </c>
      <c r="AB18" s="300">
        <v>0.013</v>
      </c>
      <c r="AC18" s="300">
        <v>0.257</v>
      </c>
      <c r="AD18" s="300">
        <v>0.262</v>
      </c>
      <c r="AE18" s="300">
        <f>SUM(0.017)*1000</f>
        <v>17</v>
      </c>
      <c r="AF18" s="300">
        <f>SUM(0.182)*1000</f>
        <v>182</v>
      </c>
      <c r="AG18" s="300">
        <v>182.0</v>
      </c>
      <c r="AH18" s="300">
        <v>4.6</v>
      </c>
      <c r="AI18" s="300">
        <v>0.426</v>
      </c>
      <c r="AJ18" s="300">
        <v>1.92</v>
      </c>
      <c r="AK18" s="300">
        <v>0.142</v>
      </c>
      <c r="AL18" s="300">
        <v>141.0</v>
      </c>
      <c r="AM18" s="300">
        <v>0.0</v>
      </c>
      <c r="AN18" s="300">
        <v>419.0</v>
      </c>
      <c r="AO18" s="300">
        <v>1.1</v>
      </c>
      <c r="AP18" s="300">
        <v>0.22</v>
      </c>
      <c r="AQ18" s="300">
        <v>0.357</v>
      </c>
      <c r="AR18" s="300">
        <v>2.84</v>
      </c>
      <c r="AS18" s="300">
        <v>8.03</v>
      </c>
      <c r="AT18" s="300">
        <v>3.97</v>
      </c>
      <c r="AU18" s="300">
        <v>0.665</v>
      </c>
      <c r="AV18" s="300">
        <v>98.0</v>
      </c>
      <c r="AW18" s="300">
        <v>27.5</v>
      </c>
      <c r="AX18" s="303">
        <v>0.0</v>
      </c>
    </row>
    <row r="19" ht="15.75" customHeight="1">
      <c r="A19" s="305" t="s">
        <v>194</v>
      </c>
      <c r="B19" s="306" t="s">
        <v>190</v>
      </c>
      <c r="C19" s="298" t="s">
        <v>195</v>
      </c>
      <c r="D19" s="299">
        <v>0.25</v>
      </c>
      <c r="E19" s="300">
        <v>134.0</v>
      </c>
      <c r="F19" s="300">
        <v>100.0</v>
      </c>
      <c r="G19" s="299">
        <v>0.7106</v>
      </c>
      <c r="H19" s="301">
        <f>SUM( F19)*0.2139</f>
        <v>21.39</v>
      </c>
      <c r="I19" s="300">
        <v>3.65</v>
      </c>
      <c r="J19" s="300">
        <v>2.47</v>
      </c>
      <c r="K19" s="300">
        <v>1.44</v>
      </c>
      <c r="L19" s="300">
        <v>1.317</v>
      </c>
      <c r="M19" s="300">
        <v>0.582</v>
      </c>
      <c r="N19" s="300">
        <v>1.085</v>
      </c>
      <c r="O19" s="300">
        <v>0.53</v>
      </c>
      <c r="P19" s="300">
        <v>0.404</v>
      </c>
      <c r="Q19" s="300">
        <v>1.906</v>
      </c>
      <c r="R19" s="300">
        <v>1.649</v>
      </c>
      <c r="S19" s="302">
        <v>1.05</v>
      </c>
      <c r="T19" s="302">
        <v>0.729</v>
      </c>
      <c r="U19" s="300">
        <v>0.91</v>
      </c>
      <c r="V19" s="300">
        <v>0.301</v>
      </c>
      <c r="W19" s="300">
        <v>1.321</v>
      </c>
      <c r="X19" s="300">
        <v>0.35</v>
      </c>
      <c r="Y19" s="300">
        <v>0.03</v>
      </c>
      <c r="Z19" s="300">
        <v>0.44</v>
      </c>
      <c r="AA19" s="300">
        <v>0.02</v>
      </c>
      <c r="AB19" s="300">
        <v>0.009</v>
      </c>
      <c r="AC19" s="300">
        <v>0.288</v>
      </c>
      <c r="AD19" s="300">
        <v>0.273</v>
      </c>
      <c r="AE19" s="300">
        <f>SUM(0.018)*1000</f>
        <v>18</v>
      </c>
      <c r="AF19" s="300">
        <f>SUM(0.087)*1000</f>
        <v>87</v>
      </c>
      <c r="AG19" s="300">
        <v>87.0</v>
      </c>
      <c r="AH19" s="300">
        <v>23.3</v>
      </c>
      <c r="AI19" s="300">
        <v>0.677</v>
      </c>
      <c r="AJ19" s="300">
        <v>5.76</v>
      </c>
      <c r="AK19" s="300">
        <v>0.344</v>
      </c>
      <c r="AL19" s="300">
        <v>52.7</v>
      </c>
      <c r="AM19" s="300">
        <v>0.0</v>
      </c>
      <c r="AN19" s="300">
        <v>6502.0</v>
      </c>
      <c r="AO19" s="300">
        <v>0.0</v>
      </c>
      <c r="AP19" s="300">
        <v>0.0</v>
      </c>
      <c r="AQ19" s="300">
        <v>0.283</v>
      </c>
      <c r="AR19" s="300">
        <v>3.005</v>
      </c>
      <c r="AS19" s="300">
        <v>15.301</v>
      </c>
      <c r="AT19" s="300">
        <v>6.65</v>
      </c>
      <c r="AU19" s="300">
        <v>0.69</v>
      </c>
      <c r="AV19" s="300">
        <v>212.0</v>
      </c>
      <c r="AW19" s="300">
        <v>26.0</v>
      </c>
      <c r="AX19" s="303">
        <v>0.0</v>
      </c>
    </row>
    <row r="20" ht="15.75" customHeight="1">
      <c r="A20" s="305" t="s">
        <v>196</v>
      </c>
      <c r="B20" s="306" t="s">
        <v>190</v>
      </c>
      <c r="C20" s="298" t="s">
        <v>197</v>
      </c>
      <c r="D20" s="299">
        <v>0.25</v>
      </c>
      <c r="E20" s="300">
        <v>100.0</v>
      </c>
      <c r="F20" s="300">
        <v>100.0</v>
      </c>
      <c r="G20" s="299">
        <v>0.8006</v>
      </c>
      <c r="H20" s="301">
        <f>SUM( F20)*0.1646</f>
        <v>16.46</v>
      </c>
      <c r="I20" s="300">
        <v>3.25</v>
      </c>
      <c r="J20" s="300">
        <v>0.0</v>
      </c>
      <c r="K20" s="300">
        <v>1.17</v>
      </c>
      <c r="L20" s="300">
        <v>1.011</v>
      </c>
      <c r="M20" s="300">
        <v>0.395</v>
      </c>
      <c r="N20" s="300">
        <v>0.879</v>
      </c>
      <c r="O20" s="300">
        <v>0.353</v>
      </c>
      <c r="P20" s="300">
        <v>0.361</v>
      </c>
      <c r="Q20" s="300">
        <v>1.477</v>
      </c>
      <c r="R20" s="300">
        <v>1.185</v>
      </c>
      <c r="S20" s="302">
        <v>0.777</v>
      </c>
      <c r="T20" s="302">
        <v>0.592</v>
      </c>
      <c r="U20" s="300">
        <v>0.682</v>
      </c>
      <c r="V20" s="300">
        <v>0.213</v>
      </c>
      <c r="W20" s="300">
        <v>0.948</v>
      </c>
      <c r="X20" s="300">
        <v>0.17</v>
      </c>
      <c r="Y20" s="300">
        <v>0.01</v>
      </c>
      <c r="Z20" s="300">
        <v>0.08</v>
      </c>
      <c r="AA20" s="300">
        <v>0.0</v>
      </c>
      <c r="AB20" s="300">
        <v>0.009</v>
      </c>
      <c r="AC20" s="300">
        <v>0.204</v>
      </c>
      <c r="AD20" s="300">
        <v>0.229</v>
      </c>
      <c r="AE20" s="300">
        <f>SUM(0.017)*1000</f>
        <v>17</v>
      </c>
      <c r="AF20" s="300">
        <f>SUM(0.121)*1000</f>
        <v>121</v>
      </c>
      <c r="AG20" s="300">
        <v>121.0</v>
      </c>
      <c r="AH20" s="300">
        <v>4.89</v>
      </c>
      <c r="AI20" s="300">
        <v>0.622</v>
      </c>
      <c r="AJ20" s="300">
        <v>2.75</v>
      </c>
      <c r="AK20" s="300">
        <v>0.123</v>
      </c>
      <c r="AL20" s="300">
        <v>190.0</v>
      </c>
      <c r="AM20" s="300">
        <v>0.0</v>
      </c>
      <c r="AN20" s="300">
        <v>59.0</v>
      </c>
      <c r="AO20" s="300">
        <v>0.0</v>
      </c>
      <c r="AP20" s="300">
        <v>0.0</v>
      </c>
      <c r="AQ20" s="300">
        <v>0.34</v>
      </c>
      <c r="AR20" s="300">
        <v>1.697</v>
      </c>
      <c r="AS20" s="300">
        <v>8.207</v>
      </c>
      <c r="AT20" s="300">
        <v>3.13</v>
      </c>
      <c r="AU20" s="300">
        <v>0.44</v>
      </c>
      <c r="AV20" s="300">
        <v>42.0</v>
      </c>
      <c r="AW20" s="300">
        <v>8.49</v>
      </c>
      <c r="AX20" s="303">
        <v>0.0</v>
      </c>
    </row>
    <row r="21" ht="15.75" customHeight="1">
      <c r="A21" s="305" t="s">
        <v>198</v>
      </c>
      <c r="B21" s="306" t="s">
        <v>190</v>
      </c>
      <c r="C21" s="298" t="s">
        <v>199</v>
      </c>
      <c r="D21" s="299">
        <v>0.25</v>
      </c>
      <c r="E21" s="300">
        <v>119.0</v>
      </c>
      <c r="F21" s="300">
        <v>100.0</v>
      </c>
      <c r="G21" s="299">
        <v>0.7646</v>
      </c>
      <c r="H21" s="301">
        <f>SUM( F21)*0.1692</f>
        <v>16.92</v>
      </c>
      <c r="I21" s="300">
        <v>4.83</v>
      </c>
      <c r="J21" s="300">
        <v>0.73</v>
      </c>
      <c r="K21" s="300">
        <v>1.06</v>
      </c>
      <c r="L21" s="300">
        <v>1.093</v>
      </c>
      <c r="M21" s="300">
        <v>0.507</v>
      </c>
      <c r="N21" s="300">
        <v>0.813</v>
      </c>
      <c r="O21" s="300">
        <v>0.432</v>
      </c>
      <c r="P21" s="300">
        <v>0.272</v>
      </c>
      <c r="Q21" s="300">
        <v>1.512</v>
      </c>
      <c r="R21" s="300">
        <v>1.332</v>
      </c>
      <c r="S21" s="302">
        <v>0.824</v>
      </c>
      <c r="T21" s="302">
        <v>0.653</v>
      </c>
      <c r="U21" s="300">
        <v>0.725</v>
      </c>
      <c r="V21" s="300">
        <v>0.176</v>
      </c>
      <c r="W21" s="300">
        <v>0.998</v>
      </c>
      <c r="X21" s="300">
        <v>0.475</v>
      </c>
      <c r="Y21" s="300">
        <v>0.012</v>
      </c>
      <c r="Z21" s="300">
        <v>0.326</v>
      </c>
      <c r="AA21" s="300">
        <v>0.0</v>
      </c>
      <c r="AB21" s="300">
        <v>0.008</v>
      </c>
      <c r="AC21" s="300">
        <v>0.297</v>
      </c>
      <c r="AD21" s="300">
        <v>0.23</v>
      </c>
      <c r="AE21" s="300">
        <f t="shared" ref="AE21:AE22" si="2">SUM(0.019)*1000</f>
        <v>19</v>
      </c>
      <c r="AF21" s="300">
        <f>SUM(0.071)*1000</f>
        <v>71</v>
      </c>
      <c r="AG21" s="300">
        <v>71.0</v>
      </c>
      <c r="AH21" s="300">
        <v>8.99</v>
      </c>
      <c r="AI21" s="300">
        <v>0.492</v>
      </c>
      <c r="AJ21" s="300">
        <v>2.67</v>
      </c>
      <c r="AK21" s="300">
        <v>0.255</v>
      </c>
      <c r="AL21" s="300">
        <v>54.6</v>
      </c>
      <c r="AM21" s="300">
        <v>0.0</v>
      </c>
      <c r="AN21" s="300">
        <v>3296.0</v>
      </c>
      <c r="AO21" s="300">
        <v>0.0</v>
      </c>
      <c r="AP21" s="300">
        <v>0.7</v>
      </c>
      <c r="AQ21" s="300">
        <v>0.305</v>
      </c>
      <c r="AR21" s="300">
        <v>1.778</v>
      </c>
      <c r="AS21" s="300">
        <v>9.728</v>
      </c>
      <c r="AT21" s="300">
        <v>6.233</v>
      </c>
      <c r="AU21" s="300">
        <v>0.853</v>
      </c>
      <c r="AV21" s="300">
        <v>588.0</v>
      </c>
      <c r="AW21" s="300">
        <v>16.58</v>
      </c>
      <c r="AX21" s="303">
        <v>194.4</v>
      </c>
    </row>
    <row r="22" ht="15.75" customHeight="1">
      <c r="A22" s="305" t="s">
        <v>200</v>
      </c>
      <c r="B22" s="306" t="s">
        <v>190</v>
      </c>
      <c r="C22" s="298" t="s">
        <v>201</v>
      </c>
      <c r="D22" s="299">
        <v>0.25</v>
      </c>
      <c r="E22" s="300">
        <v>139.0</v>
      </c>
      <c r="F22" s="300">
        <v>100.0</v>
      </c>
      <c r="G22" s="299">
        <v>0.7137</v>
      </c>
      <c r="H22" s="301">
        <f>SUM( F22)*0.2038</f>
        <v>20.38</v>
      </c>
      <c r="I22" s="300">
        <v>5.02</v>
      </c>
      <c r="J22" s="300">
        <v>1.78</v>
      </c>
      <c r="K22" s="300">
        <v>1.44</v>
      </c>
      <c r="L22" s="300">
        <v>1.143</v>
      </c>
      <c r="M22" s="300">
        <v>0.479</v>
      </c>
      <c r="N22" s="300">
        <v>0.878</v>
      </c>
      <c r="O22" s="300">
        <v>0.442</v>
      </c>
      <c r="P22" s="300">
        <v>0.214</v>
      </c>
      <c r="Q22" s="300">
        <v>1.665</v>
      </c>
      <c r="R22" s="300">
        <v>1.102</v>
      </c>
      <c r="S22" s="302">
        <v>0.91</v>
      </c>
      <c r="T22" s="302">
        <v>0.727</v>
      </c>
      <c r="U22" s="300">
        <v>0.882</v>
      </c>
      <c r="V22" s="300">
        <v>0.236</v>
      </c>
      <c r="W22" s="300">
        <v>1.122</v>
      </c>
      <c r="X22" s="300">
        <v>0.32</v>
      </c>
      <c r="Y22" s="300">
        <v>0.07</v>
      </c>
      <c r="Z22" s="300">
        <v>0.36</v>
      </c>
      <c r="AA22" s="300">
        <v>0.0</v>
      </c>
      <c r="AB22" s="300">
        <v>0.007</v>
      </c>
      <c r="AC22" s="300">
        <v>0.364</v>
      </c>
      <c r="AD22" s="300">
        <v>0.313</v>
      </c>
      <c r="AE22" s="300">
        <f t="shared" si="2"/>
        <v>19</v>
      </c>
      <c r="AF22" s="300">
        <f>SUM(0.07)*1000</f>
        <v>70</v>
      </c>
      <c r="AG22" s="300">
        <v>70.0</v>
      </c>
      <c r="AH22" s="300">
        <v>7.37</v>
      </c>
      <c r="AI22" s="300">
        <v>6.979</v>
      </c>
      <c r="AJ22" s="300">
        <v>4.66</v>
      </c>
      <c r="AK22" s="300">
        <v>0.184</v>
      </c>
      <c r="AL22" s="300">
        <v>82.4</v>
      </c>
      <c r="AM22" s="300">
        <v>0.0</v>
      </c>
      <c r="AN22" s="300">
        <v>7391.0</v>
      </c>
      <c r="AO22" s="300">
        <v>0.0</v>
      </c>
      <c r="AP22" s="300">
        <v>0.0</v>
      </c>
      <c r="AQ22" s="300">
        <v>0.34</v>
      </c>
      <c r="AR22" s="300">
        <v>3.63</v>
      </c>
      <c r="AS22" s="300">
        <v>16.11</v>
      </c>
      <c r="AT22" s="300">
        <v>6.13</v>
      </c>
      <c r="AU22" s="300">
        <v>0.9</v>
      </c>
      <c r="AV22" s="300">
        <v>230.0</v>
      </c>
      <c r="AW22" s="300">
        <v>90.05</v>
      </c>
      <c r="AX22" s="303">
        <v>0.0</v>
      </c>
    </row>
    <row r="23" ht="15.75" customHeight="1">
      <c r="A23" s="305" t="s">
        <v>202</v>
      </c>
      <c r="B23" s="306" t="s">
        <v>190</v>
      </c>
      <c r="C23" s="298" t="s">
        <v>203</v>
      </c>
      <c r="D23" s="299">
        <v>0.25</v>
      </c>
      <c r="E23" s="300">
        <v>97.0</v>
      </c>
      <c r="F23" s="300">
        <v>100.0</v>
      </c>
      <c r="G23" s="299">
        <v>0.7923</v>
      </c>
      <c r="H23" s="301">
        <f>SUM(F23)*0.1574</f>
        <v>15.74</v>
      </c>
      <c r="I23" s="300">
        <v>2.95</v>
      </c>
      <c r="J23" s="300">
        <v>0.82</v>
      </c>
      <c r="K23" s="300">
        <v>1.26</v>
      </c>
      <c r="L23" s="300">
        <v>0.908</v>
      </c>
      <c r="M23" s="300">
        <v>0.396</v>
      </c>
      <c r="N23" s="300">
        <v>0.626</v>
      </c>
      <c r="O23" s="300">
        <v>0.319</v>
      </c>
      <c r="P23" s="300">
        <v>0.179</v>
      </c>
      <c r="Q23" s="300">
        <v>1.181</v>
      </c>
      <c r="R23" s="300">
        <v>1.02</v>
      </c>
      <c r="S23" s="302">
        <v>0.729</v>
      </c>
      <c r="T23" s="302">
        <v>0.554</v>
      </c>
      <c r="U23" s="300">
        <v>0.741</v>
      </c>
      <c r="V23" s="300">
        <v>0.212</v>
      </c>
      <c r="W23" s="300">
        <v>0.923</v>
      </c>
      <c r="X23" s="300">
        <v>0.21</v>
      </c>
      <c r="Y23" s="300">
        <v>0.07</v>
      </c>
      <c r="Z23" s="300">
        <v>0.14</v>
      </c>
      <c r="AA23" s="300">
        <v>0.08</v>
      </c>
      <c r="AB23" s="300">
        <v>0.013</v>
      </c>
      <c r="AC23" s="300">
        <v>0.246</v>
      </c>
      <c r="AD23" s="300">
        <v>0.277</v>
      </c>
      <c r="AE23" s="300">
        <f>SUM(0.017)*1000</f>
        <v>17</v>
      </c>
      <c r="AF23" s="300">
        <f>SUM(0.156)*1000</f>
        <v>156</v>
      </c>
      <c r="AG23" s="300">
        <v>156.0</v>
      </c>
      <c r="AH23" s="300">
        <v>6.38</v>
      </c>
      <c r="AI23" s="300">
        <v>0.446</v>
      </c>
      <c r="AJ23" s="300">
        <v>2.24</v>
      </c>
      <c r="AK23" s="300">
        <v>0.118</v>
      </c>
      <c r="AL23" s="300">
        <v>126.9</v>
      </c>
      <c r="AM23" s="300">
        <v>0.0</v>
      </c>
      <c r="AN23" s="300">
        <v>95.0</v>
      </c>
      <c r="AO23" s="300">
        <v>0.0</v>
      </c>
      <c r="AP23" s="300">
        <v>0.0</v>
      </c>
      <c r="AQ23" s="300">
        <v>0.62</v>
      </c>
      <c r="AR23" s="300">
        <v>2.24</v>
      </c>
      <c r="AS23" s="300">
        <v>7.51</v>
      </c>
      <c r="AT23" s="300">
        <v>4.22</v>
      </c>
      <c r="AU23" s="300">
        <v>0.22</v>
      </c>
      <c r="AV23" s="300">
        <v>28.0</v>
      </c>
      <c r="AW23" s="300">
        <v>52.41</v>
      </c>
      <c r="AX23" s="303">
        <v>0.0</v>
      </c>
    </row>
    <row r="24" ht="15.75" customHeight="1">
      <c r="A24" s="305" t="s">
        <v>204</v>
      </c>
      <c r="B24" s="306" t="s">
        <v>205</v>
      </c>
      <c r="C24" s="298" t="s">
        <v>206</v>
      </c>
      <c r="D24" s="299">
        <v>0.75</v>
      </c>
      <c r="E24" s="300">
        <v>127.0</v>
      </c>
      <c r="F24" s="300">
        <v>100.0</v>
      </c>
      <c r="G24" s="299">
        <v>0.755</v>
      </c>
      <c r="H24" s="301">
        <v>20.5</v>
      </c>
      <c r="I24" s="300">
        <v>4.4</v>
      </c>
      <c r="J24" s="300">
        <v>0.0</v>
      </c>
      <c r="K24" s="300">
        <v>1.52</v>
      </c>
      <c r="L24" s="300">
        <v>1.29</v>
      </c>
      <c r="M24" s="300">
        <v>0.543</v>
      </c>
      <c r="N24" s="300">
        <v>0.954</v>
      </c>
      <c r="O24" s="300">
        <v>0.577</v>
      </c>
      <c r="P24" s="300">
        <v>0.159</v>
      </c>
      <c r="Q24" s="300">
        <v>1.56</v>
      </c>
      <c r="R24" s="300">
        <v>1.76</v>
      </c>
      <c r="S24" s="302">
        <v>0.845</v>
      </c>
      <c r="T24" s="302">
        <v>0.742</v>
      </c>
      <c r="U24" s="300">
        <v>1.07</v>
      </c>
      <c r="V24" s="300">
        <v>0.221</v>
      </c>
      <c r="W24" s="300">
        <v>1.1</v>
      </c>
      <c r="X24" s="300">
        <v>0.081</v>
      </c>
      <c r="Y24" s="300">
        <v>0.047</v>
      </c>
      <c r="Z24" s="300">
        <v>0.014</v>
      </c>
      <c r="AA24" s="300">
        <f>SUM(0.182+0.333)</f>
        <v>0.515</v>
      </c>
      <c r="AB24" s="300">
        <v>0.007</v>
      </c>
      <c r="AC24" s="300">
        <v>0.261</v>
      </c>
      <c r="AD24" s="300">
        <v>0.366</v>
      </c>
      <c r="AE24" s="300">
        <v>27.0</v>
      </c>
      <c r="AF24" s="300">
        <v>75.0</v>
      </c>
      <c r="AG24" s="300">
        <v>75.0</v>
      </c>
      <c r="AH24" s="300">
        <v>0.38</v>
      </c>
      <c r="AI24" s="300">
        <v>0.063</v>
      </c>
      <c r="AJ24" s="300">
        <v>0.39</v>
      </c>
      <c r="AK24" s="300">
        <v>0.011</v>
      </c>
      <c r="AL24" s="300">
        <v>31.4</v>
      </c>
      <c r="AM24" s="300">
        <v>0.0</v>
      </c>
      <c r="AN24" s="300">
        <v>35.0</v>
      </c>
      <c r="AO24" s="300">
        <v>10.9</v>
      </c>
      <c r="AP24" s="300">
        <v>0.4</v>
      </c>
      <c r="AQ24" s="300">
        <v>0.08</v>
      </c>
      <c r="AR24" s="300">
        <v>0.105</v>
      </c>
      <c r="AS24" s="300">
        <v>8.0</v>
      </c>
      <c r="AT24" s="300">
        <v>1.03</v>
      </c>
      <c r="AU24" s="300">
        <v>0.611</v>
      </c>
      <c r="AV24" s="300">
        <v>4.0</v>
      </c>
      <c r="AW24" s="300">
        <v>4.15</v>
      </c>
      <c r="AX24" s="303">
        <v>94.6</v>
      </c>
    </row>
    <row r="25" ht="15.75" customHeight="1">
      <c r="A25" s="305" t="s">
        <v>207</v>
      </c>
      <c r="B25" s="306" t="s">
        <v>205</v>
      </c>
      <c r="C25" s="298" t="s">
        <v>208</v>
      </c>
      <c r="D25" s="299">
        <v>0.75</v>
      </c>
      <c r="E25" s="300">
        <v>138.0</v>
      </c>
      <c r="F25" s="300">
        <v>100.0</v>
      </c>
      <c r="G25" s="299">
        <v>0.707</v>
      </c>
      <c r="H25" s="301">
        <v>23.1</v>
      </c>
      <c r="I25" s="300">
        <v>5.02</v>
      </c>
      <c r="J25" s="300">
        <v>0.0</v>
      </c>
      <c r="K25" s="300">
        <v>2.5</v>
      </c>
      <c r="L25" s="300">
        <v>1.45</v>
      </c>
      <c r="M25" s="300">
        <v>0.611</v>
      </c>
      <c r="N25" s="300">
        <v>1.07</v>
      </c>
      <c r="O25" s="300">
        <v>0.649</v>
      </c>
      <c r="P25" s="300">
        <v>0.179</v>
      </c>
      <c r="Q25" s="300">
        <v>1.76</v>
      </c>
      <c r="R25" s="300">
        <v>1.98</v>
      </c>
      <c r="S25" s="302">
        <v>0.951</v>
      </c>
      <c r="T25" s="302">
        <v>0.835</v>
      </c>
      <c r="U25" s="300">
        <v>1.2</v>
      </c>
      <c r="V25" s="300">
        <v>0.249</v>
      </c>
      <c r="W25" s="300">
        <v>1.24</v>
      </c>
      <c r="X25" s="300">
        <v>0.092</v>
      </c>
      <c r="Y25" s="300">
        <v>0.052</v>
      </c>
      <c r="Z25" s="300">
        <v>0.023</v>
      </c>
      <c r="AA25" s="300">
        <f>SUM(0.334+0.743)</f>
        <v>1.077</v>
      </c>
      <c r="AB25" s="300">
        <v>0.283</v>
      </c>
      <c r="AC25" s="300">
        <v>0.379</v>
      </c>
      <c r="AD25" s="300">
        <v>0.333</v>
      </c>
      <c r="AE25" s="300">
        <v>32.0</v>
      </c>
      <c r="AF25" s="300">
        <v>381.0</v>
      </c>
      <c r="AG25" s="300">
        <v>381.0</v>
      </c>
      <c r="AH25" s="300">
        <v>0.77</v>
      </c>
      <c r="AI25" s="300">
        <v>0.082</v>
      </c>
      <c r="AJ25" s="300">
        <v>0.96</v>
      </c>
      <c r="AK25" s="300">
        <v>0.031</v>
      </c>
      <c r="AL25" s="300">
        <v>39.5</v>
      </c>
      <c r="AM25" s="300">
        <v>0.0</v>
      </c>
      <c r="AN25" s="300">
        <v>20.0</v>
      </c>
      <c r="AO25" s="300">
        <v>14.5</v>
      </c>
      <c r="AP25" s="300">
        <v>1.28</v>
      </c>
      <c r="AQ25" s="300">
        <v>0.027</v>
      </c>
      <c r="AR25" s="300">
        <v>0.202</v>
      </c>
      <c r="AS25" s="300">
        <v>7.41</v>
      </c>
      <c r="AT25" s="300">
        <v>0.563</v>
      </c>
      <c r="AU25" s="300">
        <v>0.105</v>
      </c>
      <c r="AV25" s="300">
        <v>4.0</v>
      </c>
      <c r="AW25" s="300">
        <v>4.95</v>
      </c>
      <c r="AX25" s="303">
        <v>87.8</v>
      </c>
    </row>
    <row r="26" ht="15.75" customHeight="1">
      <c r="A26" s="305" t="s">
        <v>209</v>
      </c>
      <c r="B26" s="306" t="s">
        <v>205</v>
      </c>
      <c r="C26" s="298" t="s">
        <v>210</v>
      </c>
      <c r="D26" s="299">
        <v>0.75</v>
      </c>
      <c r="E26" s="300">
        <v>205.0</v>
      </c>
      <c r="F26" s="300">
        <v>100.0</v>
      </c>
      <c r="G26" s="299">
        <v>0.636</v>
      </c>
      <c r="H26" s="301">
        <v>18.6</v>
      </c>
      <c r="I26" s="300">
        <v>13.9</v>
      </c>
      <c r="J26" s="300">
        <v>0.0</v>
      </c>
      <c r="K26" s="300">
        <v>1.35</v>
      </c>
      <c r="L26" s="300">
        <v>1.11</v>
      </c>
      <c r="M26" s="300">
        <v>0.548</v>
      </c>
      <c r="N26" s="300">
        <v>0.857</v>
      </c>
      <c r="O26" s="300">
        <v>0.551</v>
      </c>
      <c r="P26" s="300">
        <v>0.199</v>
      </c>
      <c r="Q26" s="300">
        <v>1.51</v>
      </c>
      <c r="R26" s="300">
        <v>1.71</v>
      </c>
      <c r="S26" s="302">
        <v>0.726</v>
      </c>
      <c r="T26" s="302">
        <v>0.628</v>
      </c>
      <c r="U26" s="300">
        <v>0.815</v>
      </c>
      <c r="V26" s="300">
        <v>0.208</v>
      </c>
      <c r="W26" s="300">
        <v>0.958</v>
      </c>
      <c r="X26" s="300">
        <v>0.219</v>
      </c>
      <c r="Y26" s="300">
        <v>0.159</v>
      </c>
      <c r="Z26" s="300">
        <v>0.183</v>
      </c>
      <c r="AA26" s="300">
        <f>SUM(0.898+1.4)</f>
        <v>2.298</v>
      </c>
      <c r="AB26" s="300">
        <v>0.012</v>
      </c>
      <c r="AC26" s="300">
        <v>0.217</v>
      </c>
      <c r="AD26" s="300">
        <v>0.314</v>
      </c>
      <c r="AE26" s="300">
        <v>76.0</v>
      </c>
      <c r="AF26" s="300">
        <v>90.0</v>
      </c>
      <c r="AG26" s="300">
        <v>90.0</v>
      </c>
      <c r="AH26" s="300">
        <v>1.63</v>
      </c>
      <c r="AI26" s="300">
        <v>0.073</v>
      </c>
      <c r="AJ26" s="300">
        <v>0.63</v>
      </c>
      <c r="AK26" s="300">
        <v>0.015</v>
      </c>
      <c r="AL26" s="300">
        <v>44.1</v>
      </c>
      <c r="AM26" s="300">
        <v>0.0</v>
      </c>
      <c r="AN26" s="300">
        <v>50.0</v>
      </c>
      <c r="AO26" s="300">
        <v>16.1</v>
      </c>
      <c r="AP26" s="300">
        <v>1.52</v>
      </c>
      <c r="AQ26" s="300">
        <v>0.176</v>
      </c>
      <c r="AR26" s="300">
        <v>0.312</v>
      </c>
      <c r="AS26" s="300">
        <v>9.08</v>
      </c>
      <c r="AT26" s="300">
        <v>0.856</v>
      </c>
      <c r="AU26" s="300">
        <v>0.399</v>
      </c>
      <c r="AV26" s="300">
        <v>1.0</v>
      </c>
      <c r="AW26" s="300">
        <v>8.71</v>
      </c>
      <c r="AX26" s="303">
        <v>65.0</v>
      </c>
    </row>
    <row r="27" ht="15.75" customHeight="1">
      <c r="A27" s="305" t="s">
        <v>211</v>
      </c>
      <c r="B27" s="306" t="s">
        <v>205</v>
      </c>
      <c r="C27" s="298" t="s">
        <v>212</v>
      </c>
      <c r="D27" s="299">
        <v>0.75</v>
      </c>
      <c r="E27" s="300">
        <v>156.0</v>
      </c>
      <c r="F27" s="300">
        <v>100.0</v>
      </c>
      <c r="G27" s="299">
        <v>0.692</v>
      </c>
      <c r="H27" s="301">
        <v>23.2</v>
      </c>
      <c r="I27" s="300">
        <v>6.3</v>
      </c>
      <c r="J27" s="300">
        <v>0.0</v>
      </c>
      <c r="K27" s="300">
        <v>1.73</v>
      </c>
      <c r="L27" s="300">
        <v>1.39</v>
      </c>
      <c r="M27" s="300">
        <v>0.683</v>
      </c>
      <c r="N27" s="300">
        <v>1.07</v>
      </c>
      <c r="O27" s="300">
        <v>0.686</v>
      </c>
      <c r="P27" s="300">
        <v>0.249</v>
      </c>
      <c r="Q27" s="300">
        <v>1.88</v>
      </c>
      <c r="R27" s="300">
        <v>2.13</v>
      </c>
      <c r="S27" s="302">
        <v>0.905</v>
      </c>
      <c r="T27" s="302">
        <v>0.783</v>
      </c>
      <c r="U27" s="300">
        <v>1.02</v>
      </c>
      <c r="V27" s="300">
        <v>0.26</v>
      </c>
      <c r="W27" s="300">
        <v>1.2</v>
      </c>
      <c r="X27" s="300">
        <v>0.099</v>
      </c>
      <c r="Y27" s="300">
        <v>0.043</v>
      </c>
      <c r="Z27" s="300">
        <v>0.069</v>
      </c>
      <c r="AA27" s="300">
        <f>SUM(0.434+0.796)</f>
        <v>1.23</v>
      </c>
      <c r="AB27" s="300">
        <v>0.241</v>
      </c>
      <c r="AC27" s="300">
        <v>0.301</v>
      </c>
      <c r="AD27" s="300">
        <v>0.194</v>
      </c>
      <c r="AE27" s="300">
        <v>37.0</v>
      </c>
      <c r="AF27" s="300">
        <v>379.0</v>
      </c>
      <c r="AG27" s="300">
        <v>379.0</v>
      </c>
      <c r="AH27" s="300">
        <v>2.04</v>
      </c>
      <c r="AI27" s="300">
        <v>0.147</v>
      </c>
      <c r="AJ27" s="300">
        <v>1.02</v>
      </c>
      <c r="AK27" s="300">
        <v>0.04</v>
      </c>
      <c r="AL27" s="300">
        <v>37.7</v>
      </c>
      <c r="AM27" s="300">
        <v>0.0</v>
      </c>
      <c r="AN27" s="300">
        <v>130.0</v>
      </c>
      <c r="AO27" s="300">
        <v>7.3</v>
      </c>
      <c r="AP27" s="300">
        <v>1.03</v>
      </c>
      <c r="AQ27" s="300">
        <v>0.04</v>
      </c>
      <c r="AR27" s="300">
        <v>0.212</v>
      </c>
      <c r="AS27" s="300">
        <v>6.18</v>
      </c>
      <c r="AT27" s="300">
        <v>0.305</v>
      </c>
      <c r="AU27" s="300">
        <v>0.21</v>
      </c>
      <c r="AV27" s="300">
        <v>5.0</v>
      </c>
      <c r="AW27" s="300">
        <v>6.94</v>
      </c>
      <c r="AX27" s="303">
        <v>85.0</v>
      </c>
    </row>
    <row r="28" ht="15.75" customHeight="1">
      <c r="A28" s="305" t="s">
        <v>213</v>
      </c>
      <c r="B28" s="306" t="s">
        <v>205</v>
      </c>
      <c r="C28" s="298" t="s">
        <v>214</v>
      </c>
      <c r="D28" s="299">
        <v>0.75</v>
      </c>
      <c r="E28" s="300">
        <v>84.0</v>
      </c>
      <c r="F28" s="300">
        <v>100.0</v>
      </c>
      <c r="G28" s="299">
        <v>0.0</v>
      </c>
      <c r="H28" s="301">
        <v>12.5</v>
      </c>
      <c r="I28" s="300">
        <v>3.8</v>
      </c>
      <c r="J28" s="300">
        <v>0.0</v>
      </c>
      <c r="K28" s="300">
        <v>0.0</v>
      </c>
      <c r="L28" s="300">
        <v>0.0</v>
      </c>
      <c r="M28" s="300">
        <v>0.47</v>
      </c>
      <c r="N28" s="300">
        <v>0.73</v>
      </c>
      <c r="O28" s="300">
        <v>0.47</v>
      </c>
      <c r="P28" s="300">
        <v>0.62</v>
      </c>
      <c r="Q28" s="300">
        <v>1.3</v>
      </c>
      <c r="R28" s="300">
        <v>2.26</v>
      </c>
      <c r="S28" s="302">
        <v>0.62</v>
      </c>
      <c r="T28" s="302">
        <v>0.0</v>
      </c>
      <c r="U28" s="300">
        <v>0.7</v>
      </c>
      <c r="V28" s="300">
        <v>0.2</v>
      </c>
      <c r="W28" s="300">
        <v>0.82</v>
      </c>
      <c r="X28" s="300">
        <v>0.0</v>
      </c>
      <c r="Y28" s="300">
        <v>0.0</v>
      </c>
      <c r="Z28" s="300">
        <v>0.0</v>
      </c>
      <c r="AA28" s="300">
        <v>0.9</v>
      </c>
      <c r="AB28" s="300">
        <v>0.0315</v>
      </c>
      <c r="AC28" s="300">
        <v>0.162</v>
      </c>
      <c r="AD28" s="300">
        <v>0.243</v>
      </c>
      <c r="AE28" s="300">
        <v>20.0</v>
      </c>
      <c r="AF28" s="300">
        <v>250.0</v>
      </c>
      <c r="AG28" s="300">
        <v>250.0</v>
      </c>
      <c r="AH28" s="300">
        <v>1.0</v>
      </c>
      <c r="AI28" s="300">
        <v>0.1</v>
      </c>
      <c r="AJ28" s="300">
        <v>0.44</v>
      </c>
      <c r="AK28" s="300">
        <v>0.02</v>
      </c>
      <c r="AL28" s="300">
        <v>32.0</v>
      </c>
      <c r="AM28" s="300">
        <v>50.0</v>
      </c>
      <c r="AN28" s="300">
        <v>6.3</v>
      </c>
      <c r="AO28" s="300">
        <v>2.5</v>
      </c>
      <c r="AP28" s="300">
        <v>0.2</v>
      </c>
      <c r="AQ28" s="300">
        <v>0.0</v>
      </c>
      <c r="AR28" s="300">
        <v>0.21</v>
      </c>
      <c r="AS28" s="300">
        <v>6.4</v>
      </c>
      <c r="AT28" s="300">
        <v>0.43</v>
      </c>
      <c r="AU28" s="300">
        <v>0.2</v>
      </c>
      <c r="AV28" s="300">
        <v>4.4</v>
      </c>
      <c r="AW28" s="300">
        <v>5.23</v>
      </c>
      <c r="AX28" s="303">
        <v>75.0</v>
      </c>
    </row>
    <row r="29" ht="15.75" customHeight="1">
      <c r="A29" s="305" t="s">
        <v>215</v>
      </c>
      <c r="B29" s="306" t="s">
        <v>205</v>
      </c>
      <c r="C29" s="298" t="s">
        <v>216</v>
      </c>
      <c r="D29" s="299">
        <v>0.75</v>
      </c>
      <c r="E29" s="300">
        <v>208.0</v>
      </c>
      <c r="F29" s="300">
        <v>100.0</v>
      </c>
      <c r="G29" s="299">
        <v>0.596</v>
      </c>
      <c r="H29" s="301">
        <v>24.6</v>
      </c>
      <c r="I29" s="300">
        <v>11.4</v>
      </c>
      <c r="J29" s="300">
        <v>0.0</v>
      </c>
      <c r="K29" s="300">
        <v>3.38</v>
      </c>
      <c r="L29" s="300">
        <v>1.47</v>
      </c>
      <c r="M29" s="300">
        <v>0.725</v>
      </c>
      <c r="N29" s="300">
        <v>1.13</v>
      </c>
      <c r="O29" s="300">
        <v>0.729</v>
      </c>
      <c r="P29" s="300">
        <v>0.264</v>
      </c>
      <c r="Q29" s="300">
        <v>2.0</v>
      </c>
      <c r="R29" s="300">
        <v>2.26</v>
      </c>
      <c r="S29" s="302">
        <v>0.961</v>
      </c>
      <c r="T29" s="302">
        <v>0.831</v>
      </c>
      <c r="U29" s="300">
        <v>1.08</v>
      </c>
      <c r="V29" s="300">
        <v>0.276</v>
      </c>
      <c r="W29" s="300">
        <v>1.27</v>
      </c>
      <c r="X29" s="300">
        <v>3.54</v>
      </c>
      <c r="Y29" s="300">
        <v>0.498</v>
      </c>
      <c r="Z29" s="300">
        <v>0.0</v>
      </c>
      <c r="AA29" s="300">
        <f>SUM(0.473+0.509)</f>
        <v>0.982</v>
      </c>
      <c r="AB29" s="300">
        <v>0.382</v>
      </c>
      <c r="AC29" s="300">
        <v>0.49</v>
      </c>
      <c r="AD29" s="300">
        <v>0.397</v>
      </c>
      <c r="AE29" s="300">
        <v>39.0</v>
      </c>
      <c r="AF29" s="300">
        <v>307.0</v>
      </c>
      <c r="AG29" s="300">
        <v>307.0</v>
      </c>
      <c r="AH29" s="300">
        <v>2.92</v>
      </c>
      <c r="AI29" s="300">
        <v>0.186</v>
      </c>
      <c r="AJ29" s="300">
        <v>1.31</v>
      </c>
      <c r="AK29" s="300">
        <v>0.108</v>
      </c>
      <c r="AL29" s="300">
        <v>52.7</v>
      </c>
      <c r="AM29" s="300">
        <v>0.0</v>
      </c>
      <c r="AN29" s="300">
        <v>32.0</v>
      </c>
      <c r="AO29" s="300">
        <v>4.8</v>
      </c>
      <c r="AP29" s="300">
        <v>2.04</v>
      </c>
      <c r="AQ29" s="300">
        <v>0.08</v>
      </c>
      <c r="AR29" s="300">
        <v>0.227</v>
      </c>
      <c r="AS29" s="300">
        <v>5.24</v>
      </c>
      <c r="AT29" s="300">
        <v>0.642</v>
      </c>
      <c r="AU29" s="300">
        <v>0.167</v>
      </c>
      <c r="AV29" s="300">
        <v>10.0</v>
      </c>
      <c r="AW29" s="300">
        <v>8.94</v>
      </c>
      <c r="AX29" s="303">
        <v>75.0</v>
      </c>
    </row>
    <row r="30" ht="15.75" customHeight="1">
      <c r="A30" s="305" t="s">
        <v>217</v>
      </c>
      <c r="B30" s="306" t="s">
        <v>218</v>
      </c>
      <c r="C30" s="298" t="s">
        <v>219</v>
      </c>
      <c r="D30" s="299">
        <v>0.25</v>
      </c>
      <c r="E30" s="300">
        <v>143.0</v>
      </c>
      <c r="F30" s="300">
        <v>100.0</v>
      </c>
      <c r="G30" s="299">
        <v>0.7615</v>
      </c>
      <c r="H30" s="301">
        <f>SUM( F30)*0.1256</f>
        <v>12.56</v>
      </c>
      <c r="I30" s="300">
        <v>9.51</v>
      </c>
      <c r="J30" s="300">
        <v>0.72</v>
      </c>
      <c r="K30" s="300">
        <v>1.06</v>
      </c>
      <c r="L30" s="300">
        <v>0.82</v>
      </c>
      <c r="M30" s="300">
        <v>0.309</v>
      </c>
      <c r="N30" s="300">
        <v>0.671</v>
      </c>
      <c r="O30" s="300">
        <v>0.38</v>
      </c>
      <c r="P30" s="300">
        <v>0.272</v>
      </c>
      <c r="Q30" s="300">
        <v>1.086</v>
      </c>
      <c r="R30" s="300">
        <v>0.912</v>
      </c>
      <c r="S30" s="302">
        <v>0.68</v>
      </c>
      <c r="T30" s="302">
        <v>0.499</v>
      </c>
      <c r="U30" s="300">
        <v>0.556</v>
      </c>
      <c r="V30" s="300">
        <v>0.167</v>
      </c>
      <c r="W30" s="300">
        <v>0.858</v>
      </c>
      <c r="X30" s="300">
        <v>1.555</v>
      </c>
      <c r="Y30" s="300">
        <v>0.048</v>
      </c>
      <c r="Z30" s="300">
        <v>0.188</v>
      </c>
      <c r="AA30" s="300">
        <v>0.058</v>
      </c>
      <c r="AB30" s="300">
        <v>0.056</v>
      </c>
      <c r="AC30" s="300">
        <v>0.198</v>
      </c>
      <c r="AD30" s="300">
        <v>0.138</v>
      </c>
      <c r="AE30" s="300">
        <f>SUM(0.012)*1000</f>
        <v>12</v>
      </c>
      <c r="AF30" s="300">
        <f>SUM(0.142)*1000</f>
        <v>142</v>
      </c>
      <c r="AG30" s="300">
        <v>142.0</v>
      </c>
      <c r="AH30" s="300">
        <v>1.75</v>
      </c>
      <c r="AI30" s="300">
        <v>0.072</v>
      </c>
      <c r="AJ30" s="300">
        <v>1.29</v>
      </c>
      <c r="AK30" s="300">
        <v>0.028</v>
      </c>
      <c r="AL30" s="300">
        <v>30.7</v>
      </c>
      <c r="AM30" s="300">
        <v>0.0</v>
      </c>
      <c r="AN30" s="300">
        <v>160.0</v>
      </c>
      <c r="AO30" s="300">
        <v>2.0</v>
      </c>
      <c r="AP30" s="300">
        <v>1.05</v>
      </c>
      <c r="AQ30" s="300">
        <v>0.04</v>
      </c>
      <c r="AR30" s="300">
        <v>0.457</v>
      </c>
      <c r="AS30" s="300">
        <v>0.075</v>
      </c>
      <c r="AT30" s="300">
        <v>1.533</v>
      </c>
      <c r="AU30" s="300">
        <v>0.17</v>
      </c>
      <c r="AV30" s="300">
        <v>47.0</v>
      </c>
      <c r="AW30" s="300">
        <v>0.89</v>
      </c>
      <c r="AX30" s="303">
        <v>293.8</v>
      </c>
    </row>
    <row r="31" ht="15.75" customHeight="1">
      <c r="A31" s="305" t="s">
        <v>220</v>
      </c>
      <c r="B31" s="306" t="s">
        <v>218</v>
      </c>
      <c r="C31" s="298" t="s">
        <v>221</v>
      </c>
      <c r="D31" s="299">
        <v>0.25</v>
      </c>
      <c r="E31" s="300">
        <v>158.0</v>
      </c>
      <c r="F31" s="300">
        <v>100.0</v>
      </c>
      <c r="G31" s="299">
        <v>0.7435</v>
      </c>
      <c r="H31" s="301">
        <f>SUM( F31)*0.1305</f>
        <v>13.05</v>
      </c>
      <c r="I31" s="300">
        <v>11.09</v>
      </c>
      <c r="J31" s="300">
        <v>0.41</v>
      </c>
      <c r="K31" s="300">
        <v>1.1</v>
      </c>
      <c r="L31" s="300">
        <v>0.835</v>
      </c>
      <c r="M31" s="300">
        <v>0.315</v>
      </c>
      <c r="N31" s="300">
        <v>0.816</v>
      </c>
      <c r="O31" s="300">
        <v>0.421</v>
      </c>
      <c r="P31" s="300">
        <v>0.311</v>
      </c>
      <c r="Q31" s="300">
        <v>1.146</v>
      </c>
      <c r="R31" s="300">
        <v>0.881</v>
      </c>
      <c r="S31" s="302">
        <v>0.737</v>
      </c>
      <c r="T31" s="302">
        <v>0.543</v>
      </c>
      <c r="U31" s="300">
        <v>0.641</v>
      </c>
      <c r="V31" s="300">
        <v>0.209</v>
      </c>
      <c r="W31" s="300">
        <v>0.94</v>
      </c>
      <c r="X31" s="300">
        <v>0.94</v>
      </c>
      <c r="Y31" s="300">
        <v>0.044</v>
      </c>
      <c r="Z31" s="300">
        <v>0.122</v>
      </c>
      <c r="AA31" s="300">
        <v>0.0</v>
      </c>
      <c r="AB31" s="300">
        <v>0.064</v>
      </c>
      <c r="AC31" s="300">
        <v>0.226</v>
      </c>
      <c r="AD31" s="300">
        <v>0.132</v>
      </c>
      <c r="AE31" s="300">
        <f>SUM(0.013)*1000</f>
        <v>13</v>
      </c>
      <c r="AF31" s="300">
        <f>SUM(0.141)*1000</f>
        <v>141</v>
      </c>
      <c r="AG31" s="300">
        <v>141.0</v>
      </c>
      <c r="AH31" s="300">
        <v>3.65</v>
      </c>
      <c r="AI31" s="300">
        <v>0.062</v>
      </c>
      <c r="AJ31" s="300">
        <v>1.47</v>
      </c>
      <c r="AK31" s="300">
        <v>0.038</v>
      </c>
      <c r="AL31" s="300">
        <v>32.0</v>
      </c>
      <c r="AM31" s="300">
        <v>0.0</v>
      </c>
      <c r="AN31" s="300">
        <v>156.0</v>
      </c>
      <c r="AO31" s="300">
        <v>1.4</v>
      </c>
      <c r="AP31" s="300">
        <v>1.08</v>
      </c>
      <c r="AQ31" s="300">
        <v>0.13</v>
      </c>
      <c r="AR31" s="300">
        <v>0.79</v>
      </c>
      <c r="AS31" s="300">
        <v>0.15</v>
      </c>
      <c r="AT31" s="300">
        <v>1.761</v>
      </c>
      <c r="AU31" s="300">
        <v>0.15</v>
      </c>
      <c r="AV31" s="300">
        <v>66.0</v>
      </c>
      <c r="AW31" s="300">
        <v>1.58</v>
      </c>
      <c r="AX31" s="303">
        <v>263.4</v>
      </c>
    </row>
    <row r="32" ht="15.75" customHeight="1">
      <c r="A32" s="305" t="s">
        <v>222</v>
      </c>
      <c r="B32" s="306" t="s">
        <v>218</v>
      </c>
      <c r="C32" s="298" t="s">
        <v>223</v>
      </c>
      <c r="D32" s="299">
        <v>0.25</v>
      </c>
      <c r="E32" s="300">
        <v>185.0</v>
      </c>
      <c r="F32" s="300">
        <v>100.0</v>
      </c>
      <c r="G32" s="299">
        <v>0.7083</v>
      </c>
      <c r="H32" s="301">
        <f>SUM( F32)*0.1281</f>
        <v>12.81</v>
      </c>
      <c r="I32" s="300">
        <v>13.77</v>
      </c>
      <c r="J32" s="300">
        <v>1.45</v>
      </c>
      <c r="K32" s="300">
        <v>1.14</v>
      </c>
      <c r="L32" s="300">
        <v>0.765</v>
      </c>
      <c r="M32" s="300">
        <v>0.32</v>
      </c>
      <c r="N32" s="300">
        <v>0.598</v>
      </c>
      <c r="O32" s="300">
        <v>0.576</v>
      </c>
      <c r="P32" s="300">
        <v>0.285</v>
      </c>
      <c r="Q32" s="300">
        <v>1.097</v>
      </c>
      <c r="R32" s="300">
        <v>0.951</v>
      </c>
      <c r="S32" s="302">
        <v>0.84</v>
      </c>
      <c r="T32" s="302">
        <v>0.613</v>
      </c>
      <c r="U32" s="300">
        <v>0.736</v>
      </c>
      <c r="V32" s="300">
        <v>0.26</v>
      </c>
      <c r="W32" s="300">
        <v>0.885</v>
      </c>
      <c r="X32" s="300">
        <v>0.558</v>
      </c>
      <c r="Y32" s="300">
        <v>0.102</v>
      </c>
      <c r="Z32" s="300">
        <v>0.319</v>
      </c>
      <c r="AA32" s="300">
        <v>0.0</v>
      </c>
      <c r="AB32" s="300">
        <v>0.064</v>
      </c>
      <c r="AC32" s="300">
        <v>0.22</v>
      </c>
      <c r="AD32" s="300">
        <v>0.222</v>
      </c>
      <c r="AE32" s="300">
        <f>SUM(0.017)*1000</f>
        <v>17</v>
      </c>
      <c r="AF32" s="300">
        <f>SUM(0.146)*1000</f>
        <v>146</v>
      </c>
      <c r="AG32" s="300">
        <v>146.0</v>
      </c>
      <c r="AH32" s="300">
        <v>3.85</v>
      </c>
      <c r="AI32" s="300">
        <v>0.062</v>
      </c>
      <c r="AJ32" s="300">
        <v>1.41</v>
      </c>
      <c r="AK32" s="300">
        <v>0.038</v>
      </c>
      <c r="AL32" s="300">
        <v>36.4</v>
      </c>
      <c r="AM32" s="300">
        <v>0.0</v>
      </c>
      <c r="AN32" s="300">
        <v>194.0</v>
      </c>
      <c r="AO32" s="300">
        <v>1.7</v>
      </c>
      <c r="AP32" s="300">
        <v>1.34</v>
      </c>
      <c r="AQ32" s="300">
        <v>0.156</v>
      </c>
      <c r="AR32" s="300">
        <v>0.404</v>
      </c>
      <c r="AS32" s="300">
        <v>0.2</v>
      </c>
      <c r="AT32" s="300">
        <v>1.862</v>
      </c>
      <c r="AU32" s="300">
        <v>0.25</v>
      </c>
      <c r="AV32" s="300">
        <v>80.0</v>
      </c>
      <c r="AW32" s="300">
        <v>5.4</v>
      </c>
      <c r="AX32" s="303">
        <v>263.4</v>
      </c>
    </row>
    <row r="33" ht="15.75" customHeight="1">
      <c r="A33" s="305" t="s">
        <v>224</v>
      </c>
      <c r="B33" s="306" t="s">
        <v>225</v>
      </c>
      <c r="C33" s="298" t="s">
        <v>226</v>
      </c>
      <c r="D33" s="299">
        <v>0.25</v>
      </c>
      <c r="E33" s="300">
        <v>68.0</v>
      </c>
      <c r="F33" s="300">
        <v>100.0</v>
      </c>
      <c r="G33" s="299">
        <v>0.8514</v>
      </c>
      <c r="H33" s="301">
        <f>SUM( F33)*0.0706</f>
        <v>7.06</v>
      </c>
      <c r="I33" s="300">
        <v>2.47</v>
      </c>
      <c r="J33" s="300">
        <v>3.91</v>
      </c>
      <c r="K33" s="300">
        <v>1.42</v>
      </c>
      <c r="L33" s="300">
        <v>0.515</v>
      </c>
      <c r="M33" s="300">
        <v>0.136</v>
      </c>
      <c r="N33" s="300">
        <v>0.307</v>
      </c>
      <c r="O33" s="300">
        <v>0.159</v>
      </c>
      <c r="P33" s="300">
        <v>0.093</v>
      </c>
      <c r="Q33" s="300">
        <v>0.497</v>
      </c>
      <c r="R33" s="300">
        <v>0.528</v>
      </c>
      <c r="S33" s="302">
        <v>0.253</v>
      </c>
      <c r="T33" s="302">
        <v>0.226</v>
      </c>
      <c r="U33" s="300">
        <v>0.304</v>
      </c>
      <c r="V33" s="300">
        <v>0.079</v>
      </c>
      <c r="W33" s="300">
        <v>0.308</v>
      </c>
      <c r="X33" s="300">
        <v>0.049</v>
      </c>
      <c r="Y33" s="300">
        <v>0.037</v>
      </c>
      <c r="Z33" s="300">
        <v>0.068</v>
      </c>
      <c r="AA33" s="300">
        <v>0.439</v>
      </c>
      <c r="AB33" s="300">
        <v>0.045</v>
      </c>
      <c r="AC33" s="300">
        <v>0.139</v>
      </c>
      <c r="AD33" s="300">
        <v>0.229</v>
      </c>
      <c r="AE33" s="300">
        <f>SUM(0.054)*1000</f>
        <v>54</v>
      </c>
      <c r="AF33" s="300">
        <f>SUM(0.112)*1000</f>
        <v>112</v>
      </c>
      <c r="AG33" s="300">
        <v>112.0</v>
      </c>
      <c r="AH33" s="300">
        <v>6.7</v>
      </c>
      <c r="AI33" s="300">
        <v>4.461</v>
      </c>
      <c r="AJ33" s="300">
        <v>90.95</v>
      </c>
      <c r="AK33" s="300">
        <v>0.45</v>
      </c>
      <c r="AL33" s="300">
        <v>35.8</v>
      </c>
      <c r="AM33" s="300">
        <v>0.0</v>
      </c>
      <c r="AN33" s="300">
        <v>90.0</v>
      </c>
      <c r="AO33" s="300">
        <v>0.0</v>
      </c>
      <c r="AP33" s="300">
        <v>0.85</v>
      </c>
      <c r="AQ33" s="300">
        <v>0.15</v>
      </c>
      <c r="AR33" s="300">
        <v>0.166</v>
      </c>
      <c r="AS33" s="300">
        <v>1.244</v>
      </c>
      <c r="AT33" s="300">
        <v>0.18</v>
      </c>
      <c r="AU33" s="300">
        <v>0.095</v>
      </c>
      <c r="AV33" s="300">
        <v>9.0</v>
      </c>
      <c r="AW33" s="300">
        <v>19.13</v>
      </c>
      <c r="AX33" s="303">
        <v>81.0</v>
      </c>
    </row>
    <row r="34" ht="15.75" customHeight="1">
      <c r="A34" s="305" t="s">
        <v>227</v>
      </c>
      <c r="B34" s="306" t="s">
        <v>225</v>
      </c>
      <c r="C34" s="298" t="s">
        <v>228</v>
      </c>
      <c r="D34" s="299">
        <v>0.25</v>
      </c>
      <c r="E34" s="300">
        <v>172.0</v>
      </c>
      <c r="F34" s="300">
        <v>100.0</v>
      </c>
      <c r="G34" s="299">
        <v>0.6115</v>
      </c>
      <c r="H34" s="301">
        <f>SUM( F34)*0.238</f>
        <v>23.8</v>
      </c>
      <c r="I34" s="300">
        <v>4.48</v>
      </c>
      <c r="J34" s="300">
        <v>7.39</v>
      </c>
      <c r="K34" s="300">
        <v>3.18</v>
      </c>
      <c r="L34" s="300">
        <v>1.737</v>
      </c>
      <c r="M34" s="300">
        <v>0.457</v>
      </c>
      <c r="N34" s="300">
        <v>1.036</v>
      </c>
      <c r="O34" s="300">
        <v>0.537</v>
      </c>
      <c r="P34" s="300">
        <v>0.312</v>
      </c>
      <c r="Q34" s="300">
        <v>1.676</v>
      </c>
      <c r="R34" s="300">
        <v>1.779</v>
      </c>
      <c r="S34" s="302">
        <v>0.853</v>
      </c>
      <c r="T34" s="302">
        <v>0.762</v>
      </c>
      <c r="U34" s="300">
        <v>1.025</v>
      </c>
      <c r="V34" s="300">
        <v>0.267</v>
      </c>
      <c r="W34" s="300">
        <v>1.04</v>
      </c>
      <c r="X34" s="300">
        <v>0.036</v>
      </c>
      <c r="Y34" s="300">
        <v>0.04</v>
      </c>
      <c r="Z34" s="300">
        <v>0.14</v>
      </c>
      <c r="AA34" s="300">
        <v>0.782</v>
      </c>
      <c r="AB34" s="300">
        <v>0.033</v>
      </c>
      <c r="AC34" s="300">
        <v>0.285</v>
      </c>
      <c r="AD34" s="300">
        <v>0.268</v>
      </c>
      <c r="AE34" s="300">
        <f>SUM(0.037)*1000</f>
        <v>37</v>
      </c>
      <c r="AF34" s="300">
        <f>SUM(0.369)*1000</f>
        <v>369</v>
      </c>
      <c r="AG34" s="300">
        <v>369.0</v>
      </c>
      <c r="AH34" s="300">
        <v>6.72</v>
      </c>
      <c r="AI34" s="300">
        <v>0.149</v>
      </c>
      <c r="AJ34" s="300">
        <v>2.67</v>
      </c>
      <c r="AK34" s="300">
        <v>6.8</v>
      </c>
      <c r="AL34" s="300">
        <v>89.6</v>
      </c>
      <c r="AM34" s="300">
        <v>0.0</v>
      </c>
      <c r="AN34" s="300">
        <v>91.0</v>
      </c>
      <c r="AO34" s="300">
        <v>0.0</v>
      </c>
      <c r="AP34" s="300">
        <v>0.0</v>
      </c>
      <c r="AQ34" s="300">
        <v>0.3</v>
      </c>
      <c r="AR34" s="300">
        <v>0.42</v>
      </c>
      <c r="AS34" s="300">
        <v>3.0</v>
      </c>
      <c r="AT34" s="300">
        <v>0.95</v>
      </c>
      <c r="AU34" s="300">
        <v>0.1</v>
      </c>
      <c r="AV34" s="300">
        <v>76.0</v>
      </c>
      <c r="AW34" s="300">
        <v>24.0</v>
      </c>
      <c r="AX34" s="303">
        <v>0.0</v>
      </c>
    </row>
    <row r="35" ht="15.75" customHeight="1">
      <c r="A35" s="305" t="s">
        <v>229</v>
      </c>
      <c r="B35" s="306" t="s">
        <v>230</v>
      </c>
      <c r="C35" s="298" t="s">
        <v>231</v>
      </c>
      <c r="D35" s="299">
        <v>0.1</v>
      </c>
      <c r="E35" s="300">
        <v>44.0</v>
      </c>
      <c r="F35" s="300">
        <v>100.0</v>
      </c>
      <c r="G35" s="299">
        <v>0.8706</v>
      </c>
      <c r="H35" s="301">
        <f>SUM( F35)*0.0168</f>
        <v>1.68</v>
      </c>
      <c r="I35" s="300">
        <v>0.18</v>
      </c>
      <c r="J35" s="300">
        <v>9.96</v>
      </c>
      <c r="K35" s="300">
        <v>1.12</v>
      </c>
      <c r="L35" s="300">
        <v>0.044</v>
      </c>
      <c r="M35" s="300">
        <v>0.022</v>
      </c>
      <c r="N35" s="300">
        <v>0.05</v>
      </c>
      <c r="O35" s="300">
        <v>0.019</v>
      </c>
      <c r="P35" s="300">
        <v>0.02</v>
      </c>
      <c r="Q35" s="300">
        <v>0.071</v>
      </c>
      <c r="R35" s="300">
        <v>0.06</v>
      </c>
      <c r="S35" s="302">
        <v>0.048</v>
      </c>
      <c r="T35" s="302">
        <v>0.04</v>
      </c>
      <c r="U35" s="300">
        <v>0.049</v>
      </c>
      <c r="V35" s="300">
        <v>0.02</v>
      </c>
      <c r="W35" s="300">
        <v>0.059</v>
      </c>
      <c r="X35" s="300">
        <v>0.058</v>
      </c>
      <c r="Y35" s="300">
        <v>0.005</v>
      </c>
      <c r="Z35" s="300">
        <v>0.0</v>
      </c>
      <c r="AA35" s="300">
        <v>0.0</v>
      </c>
      <c r="AB35" s="300">
        <v>0.016</v>
      </c>
      <c r="AC35" s="300">
        <v>0.038</v>
      </c>
      <c r="AD35" s="300">
        <v>0.305</v>
      </c>
      <c r="AE35" s="300">
        <f>SUM(0.023)*1000</f>
        <v>23</v>
      </c>
      <c r="AF35" s="300">
        <f>SUM(0.077)*1000</f>
        <v>77</v>
      </c>
      <c r="AG35" s="300">
        <v>77.0</v>
      </c>
      <c r="AH35" s="300">
        <v>0.79</v>
      </c>
      <c r="AI35" s="300">
        <v>0.074</v>
      </c>
      <c r="AJ35" s="300">
        <v>0.35</v>
      </c>
      <c r="AK35" s="300">
        <v>0.326</v>
      </c>
      <c r="AL35" s="300">
        <v>0.7</v>
      </c>
      <c r="AM35" s="300">
        <v>0.0</v>
      </c>
      <c r="AN35" s="300">
        <v>2.0</v>
      </c>
      <c r="AO35" s="300">
        <v>0.0</v>
      </c>
      <c r="AP35" s="300">
        <v>0.04</v>
      </c>
      <c r="AQ35" s="300">
        <v>0.027</v>
      </c>
      <c r="AR35" s="300">
        <v>0.04</v>
      </c>
      <c r="AS35" s="300">
        <v>0.331</v>
      </c>
      <c r="AT35" s="300">
        <v>0.145</v>
      </c>
      <c r="AU35" s="300">
        <v>0.067</v>
      </c>
      <c r="AV35" s="300">
        <v>80.0</v>
      </c>
      <c r="AW35" s="300">
        <v>0.0</v>
      </c>
      <c r="AX35" s="303">
        <v>6.3</v>
      </c>
    </row>
    <row r="36" ht="15.75" customHeight="1">
      <c r="A36" s="305" t="s">
        <v>232</v>
      </c>
      <c r="B36" s="306" t="s">
        <v>230</v>
      </c>
      <c r="C36" s="298" t="s">
        <v>233</v>
      </c>
      <c r="D36" s="299">
        <v>0.1</v>
      </c>
      <c r="E36" s="300">
        <v>31.0</v>
      </c>
      <c r="F36" s="300">
        <v>100.0</v>
      </c>
      <c r="G36" s="299">
        <v>0.9039</v>
      </c>
      <c r="H36" s="301">
        <f>SUM( F36)*0.0143</f>
        <v>1.43</v>
      </c>
      <c r="I36" s="300">
        <v>0.16</v>
      </c>
      <c r="J36" s="300">
        <v>7.37</v>
      </c>
      <c r="K36" s="300">
        <v>0.64</v>
      </c>
      <c r="L36" s="300">
        <v>0.083</v>
      </c>
      <c r="M36" s="300">
        <v>0.024</v>
      </c>
      <c r="N36" s="300">
        <v>0.034</v>
      </c>
      <c r="O36" s="300">
        <v>0.014</v>
      </c>
      <c r="P36" s="300">
        <v>0.012</v>
      </c>
      <c r="Q36" s="300">
        <v>0.046</v>
      </c>
      <c r="R36" s="300">
        <v>0.049</v>
      </c>
      <c r="S36" s="302">
        <v>0.036</v>
      </c>
      <c r="T36" s="302">
        <v>0.022</v>
      </c>
      <c r="U36" s="300">
        <v>0.039</v>
      </c>
      <c r="V36" s="300">
        <v>0.012</v>
      </c>
      <c r="W36" s="300">
        <v>0.048</v>
      </c>
      <c r="X36" s="300">
        <v>0.034</v>
      </c>
      <c r="Y36" s="300">
        <v>0.045</v>
      </c>
      <c r="Z36" s="300">
        <v>0.001</v>
      </c>
      <c r="AA36" s="300">
        <v>0.0</v>
      </c>
      <c r="AB36" s="300">
        <v>0.045</v>
      </c>
      <c r="AC36" s="300">
        <v>0.03</v>
      </c>
      <c r="AD36" s="300">
        <v>0.243</v>
      </c>
      <c r="AE36" s="300">
        <f>SUM(0.016)*1000</f>
        <v>16</v>
      </c>
      <c r="AF36" s="300">
        <f>SUM(0.027)*1000</f>
        <v>27</v>
      </c>
      <c r="AG36" s="300">
        <v>27.0</v>
      </c>
      <c r="AH36" s="300">
        <v>0.8</v>
      </c>
      <c r="AI36" s="300">
        <v>0.017</v>
      </c>
      <c r="AJ36" s="300">
        <v>0.22</v>
      </c>
      <c r="AK36" s="300">
        <v>0.243</v>
      </c>
      <c r="AL36" s="300">
        <v>0.6</v>
      </c>
      <c r="AM36" s="300">
        <v>0.0</v>
      </c>
      <c r="AN36" s="300">
        <v>56.0</v>
      </c>
      <c r="AO36" s="300">
        <v>0.0</v>
      </c>
      <c r="AP36" s="300">
        <v>0.11</v>
      </c>
      <c r="AQ36" s="300">
        <v>0.064</v>
      </c>
      <c r="AR36" s="300">
        <v>0.069</v>
      </c>
      <c r="AS36" s="300">
        <v>0.418</v>
      </c>
      <c r="AT36" s="300">
        <v>0.147</v>
      </c>
      <c r="AU36" s="300">
        <v>0.209</v>
      </c>
      <c r="AV36" s="300">
        <v>18.0</v>
      </c>
      <c r="AW36" s="300">
        <v>0.0</v>
      </c>
      <c r="AX36" s="303">
        <v>17.1</v>
      </c>
    </row>
    <row r="37" ht="15.75" customHeight="1">
      <c r="A37" s="305" t="s">
        <v>234</v>
      </c>
      <c r="B37" s="306" t="s">
        <v>230</v>
      </c>
      <c r="C37" s="298" t="s">
        <v>235</v>
      </c>
      <c r="D37" s="299">
        <v>0.1</v>
      </c>
      <c r="E37" s="300">
        <v>34.0</v>
      </c>
      <c r="F37" s="300">
        <v>100.0</v>
      </c>
      <c r="G37" s="299">
        <v>0.893</v>
      </c>
      <c r="H37" s="301">
        <f>SUM( F37)*0.0282</f>
        <v>2.82</v>
      </c>
      <c r="I37" s="300">
        <v>0.37</v>
      </c>
      <c r="J37" s="300">
        <v>6.64</v>
      </c>
      <c r="K37" s="300">
        <v>0.87</v>
      </c>
      <c r="L37" s="300">
        <v>0.191</v>
      </c>
      <c r="M37" s="300">
        <v>0.059</v>
      </c>
      <c r="N37" s="300">
        <v>0.079</v>
      </c>
      <c r="O37" s="300">
        <v>0.038</v>
      </c>
      <c r="P37" s="300">
        <v>0.028</v>
      </c>
      <c r="Q37" s="300">
        <v>0.129</v>
      </c>
      <c r="R37" s="300">
        <v>0.135</v>
      </c>
      <c r="S37" s="302">
        <v>0.117</v>
      </c>
      <c r="T37" s="302">
        <v>0.05</v>
      </c>
      <c r="U37" s="300">
        <v>0.088</v>
      </c>
      <c r="V37" s="300">
        <v>0.033</v>
      </c>
      <c r="W37" s="300">
        <v>0.125</v>
      </c>
      <c r="X37" s="300">
        <v>0.049</v>
      </c>
      <c r="Y37" s="300">
        <v>0.063</v>
      </c>
      <c r="Z37" s="300">
        <v>0.0</v>
      </c>
      <c r="AA37" s="300">
        <v>0.0</v>
      </c>
      <c r="AB37" s="300">
        <v>0.047</v>
      </c>
      <c r="AC37" s="300">
        <v>0.066</v>
      </c>
      <c r="AD37" s="300">
        <v>0.316</v>
      </c>
      <c r="AE37" s="300">
        <f>SUM(0.021)*1000</f>
        <v>21</v>
      </c>
      <c r="AF37" s="300">
        <f>SUM(0.033)*1000</f>
        <v>33</v>
      </c>
      <c r="AG37" s="300">
        <v>33.0</v>
      </c>
      <c r="AH37" s="300">
        <v>0.73</v>
      </c>
      <c r="AI37" s="300">
        <v>0.049</v>
      </c>
      <c r="AJ37" s="300">
        <v>0.41</v>
      </c>
      <c r="AK37" s="300">
        <v>0.21</v>
      </c>
      <c r="AL37" s="300">
        <v>2.5</v>
      </c>
      <c r="AM37" s="300">
        <v>0.0</v>
      </c>
      <c r="AN37" s="300">
        <v>31.0</v>
      </c>
      <c r="AO37" s="300">
        <v>0.0</v>
      </c>
      <c r="AP37" s="300">
        <v>0.78</v>
      </c>
      <c r="AQ37" s="300">
        <v>0.071</v>
      </c>
      <c r="AR37" s="300">
        <v>0.117</v>
      </c>
      <c r="AS37" s="300">
        <v>0.639</v>
      </c>
      <c r="AT37" s="300">
        <v>0.573</v>
      </c>
      <c r="AU37" s="300">
        <v>0.175</v>
      </c>
      <c r="AV37" s="300">
        <v>63.0</v>
      </c>
      <c r="AW37" s="300">
        <v>0.0</v>
      </c>
      <c r="AX37" s="303">
        <v>18.7</v>
      </c>
    </row>
    <row r="38" ht="15.75" customHeight="1">
      <c r="A38" s="305" t="s">
        <v>236</v>
      </c>
      <c r="B38" s="306" t="s">
        <v>230</v>
      </c>
      <c r="C38" s="298" t="s">
        <v>237</v>
      </c>
      <c r="D38" s="299">
        <v>0.1</v>
      </c>
      <c r="E38" s="300">
        <v>31.0</v>
      </c>
      <c r="F38" s="300">
        <v>100.0</v>
      </c>
      <c r="G38" s="299">
        <v>0.9032</v>
      </c>
      <c r="H38" s="301">
        <f>SUM(F38)*0.0183</f>
        <v>1.83</v>
      </c>
      <c r="I38" s="300">
        <v>0.22</v>
      </c>
      <c r="J38" s="300">
        <v>6.97</v>
      </c>
      <c r="K38" s="300">
        <v>0.66</v>
      </c>
      <c r="L38" s="300">
        <v>0.073</v>
      </c>
      <c r="M38" s="300">
        <v>0.034</v>
      </c>
      <c r="N38" s="300">
        <v>0.066</v>
      </c>
      <c r="O38" s="300">
        <v>0.022</v>
      </c>
      <c r="P38" s="300">
        <v>0.018</v>
      </c>
      <c r="Q38" s="300">
        <v>0.112</v>
      </c>
      <c r="R38" s="300">
        <v>0.088</v>
      </c>
      <c r="S38" s="302">
        <v>0.067</v>
      </c>
      <c r="T38" s="302">
        <v>0.042</v>
      </c>
      <c r="U38" s="300">
        <v>0.079</v>
      </c>
      <c r="V38" s="300">
        <v>0.019</v>
      </c>
      <c r="W38" s="300">
        <v>0.09</v>
      </c>
      <c r="X38" s="300">
        <v>0.044</v>
      </c>
      <c r="Y38" s="300">
        <v>0.069</v>
      </c>
      <c r="Z38" s="300">
        <v>0.0</v>
      </c>
      <c r="AA38" s="300">
        <v>0.0</v>
      </c>
      <c r="AB38" s="300">
        <v>0.037</v>
      </c>
      <c r="AC38" s="300">
        <v>0.038</v>
      </c>
      <c r="AD38" s="300">
        <v>0.211</v>
      </c>
      <c r="AE38" s="300">
        <f>SUM(0.025)*1000</f>
        <v>25</v>
      </c>
      <c r="AF38" s="300">
        <f>SUM(0.006)*1000</f>
        <v>6</v>
      </c>
      <c r="AG38" s="300">
        <v>6.0</v>
      </c>
      <c r="AH38" s="300">
        <v>1.03</v>
      </c>
      <c r="AI38" s="300">
        <v>0.069</v>
      </c>
      <c r="AJ38" s="300">
        <v>0.24</v>
      </c>
      <c r="AK38" s="300">
        <v>0.216</v>
      </c>
      <c r="AL38" s="300">
        <v>0.6</v>
      </c>
      <c r="AM38" s="300">
        <v>0.0</v>
      </c>
      <c r="AN38" s="300">
        <v>35.0</v>
      </c>
      <c r="AO38" s="300">
        <v>0.0</v>
      </c>
      <c r="AP38" s="300">
        <v>0.41</v>
      </c>
      <c r="AQ38" s="300">
        <v>0.082</v>
      </c>
      <c r="AR38" s="300">
        <v>0.104</v>
      </c>
      <c r="AS38" s="300">
        <v>0.734</v>
      </c>
      <c r="AT38" s="300">
        <v>0.225</v>
      </c>
      <c r="AU38" s="300">
        <v>0.141</v>
      </c>
      <c r="AV38" s="300">
        <v>33.0</v>
      </c>
      <c r="AW38" s="300">
        <v>0.0</v>
      </c>
      <c r="AX38" s="303">
        <v>15.3</v>
      </c>
    </row>
    <row r="39" ht="15.75" customHeight="1">
      <c r="A39" s="305" t="s">
        <v>238</v>
      </c>
      <c r="B39" s="306" t="s">
        <v>230</v>
      </c>
      <c r="C39" s="298" t="s">
        <v>239</v>
      </c>
      <c r="D39" s="299">
        <v>0.1</v>
      </c>
      <c r="E39" s="300">
        <v>40.0</v>
      </c>
      <c r="F39" s="300">
        <v>100.0</v>
      </c>
      <c r="G39" s="299">
        <v>0.878</v>
      </c>
      <c r="H39" s="301">
        <f>SUM(F39)*0.9</f>
        <v>90</v>
      </c>
      <c r="I39" s="300">
        <v>0.09</v>
      </c>
      <c r="J39" s="300">
        <v>10.49</v>
      </c>
      <c r="K39" s="300">
        <v>0.72</v>
      </c>
      <c r="L39" s="300">
        <v>0.05</v>
      </c>
      <c r="M39" s="300">
        <v>0.017</v>
      </c>
      <c r="N39" s="300">
        <v>0.035</v>
      </c>
      <c r="O39" s="300">
        <v>0.011</v>
      </c>
      <c r="P39" s="300">
        <v>0.008</v>
      </c>
      <c r="Q39" s="300">
        <v>0.051</v>
      </c>
      <c r="R39" s="300">
        <v>0.033</v>
      </c>
      <c r="S39" s="302">
        <v>0.035</v>
      </c>
      <c r="T39" s="302">
        <v>0.03</v>
      </c>
      <c r="U39" s="300">
        <v>0.027</v>
      </c>
      <c r="V39" s="300">
        <v>0.013</v>
      </c>
      <c r="W39" s="300">
        <v>0.039</v>
      </c>
      <c r="X39" s="300">
        <v>0.014</v>
      </c>
      <c r="Y39" s="300">
        <v>0.024</v>
      </c>
      <c r="Z39" s="300">
        <v>0.0</v>
      </c>
      <c r="AA39" s="300">
        <v>0.0</v>
      </c>
      <c r="AB39" s="300">
        <v>0.041</v>
      </c>
      <c r="AC39" s="300">
        <v>0.027</v>
      </c>
      <c r="AD39" s="300">
        <v>0.284</v>
      </c>
      <c r="AE39" s="300">
        <f>SUM(0.029)*1000</f>
        <v>29</v>
      </c>
      <c r="AF39" s="300">
        <f>SUM(0.004)*1000</f>
        <v>4</v>
      </c>
      <c r="AG39" s="300">
        <v>4.0</v>
      </c>
      <c r="AH39" s="300">
        <v>0.6</v>
      </c>
      <c r="AI39" s="300">
        <v>0.065</v>
      </c>
      <c r="AJ39" s="300">
        <v>0.13</v>
      </c>
      <c r="AK39" s="300">
        <v>0.172</v>
      </c>
      <c r="AL39" s="300">
        <v>0.5</v>
      </c>
      <c r="AM39" s="300">
        <v>0.0</v>
      </c>
      <c r="AN39" s="300">
        <v>558.0</v>
      </c>
      <c r="AO39" s="300">
        <v>0.0</v>
      </c>
      <c r="AP39" s="300">
        <v>1.29</v>
      </c>
      <c r="AQ39" s="300">
        <v>0.072</v>
      </c>
      <c r="AR39" s="300">
        <v>0.017</v>
      </c>
      <c r="AS39" s="300">
        <v>0.969</v>
      </c>
      <c r="AT39" s="300">
        <v>0.359</v>
      </c>
      <c r="AU39" s="300">
        <v>0.124</v>
      </c>
      <c r="AV39" s="300">
        <v>19.0</v>
      </c>
      <c r="AW39" s="300">
        <v>0.0</v>
      </c>
      <c r="AX39" s="303">
        <v>0.0</v>
      </c>
    </row>
    <row r="40" ht="15.75" customHeight="1">
      <c r="A40" s="305" t="s">
        <v>240</v>
      </c>
      <c r="B40" s="306" t="s">
        <v>230</v>
      </c>
      <c r="C40" s="298" t="s">
        <v>241</v>
      </c>
      <c r="D40" s="299">
        <v>0.1</v>
      </c>
      <c r="E40" s="300">
        <v>35.0</v>
      </c>
      <c r="F40" s="300">
        <v>100.0</v>
      </c>
      <c r="G40" s="299">
        <v>0.9017</v>
      </c>
      <c r="H40" s="301">
        <f>SUM( F40)*0.76</f>
        <v>76</v>
      </c>
      <c r="I40" s="300">
        <v>0.18</v>
      </c>
      <c r="J40" s="300">
        <v>8.22</v>
      </c>
      <c r="K40" s="300">
        <v>0.67</v>
      </c>
      <c r="L40" s="300">
        <v>0.075</v>
      </c>
      <c r="M40" s="300">
        <v>0.033</v>
      </c>
      <c r="N40" s="300">
        <v>0.063</v>
      </c>
      <c r="O40" s="300">
        <v>0.017</v>
      </c>
      <c r="P40" s="300">
        <v>0.068</v>
      </c>
      <c r="Q40" s="300">
        <v>0.084</v>
      </c>
      <c r="R40" s="300">
        <v>0.083</v>
      </c>
      <c r="S40" s="302">
        <v>0.05</v>
      </c>
      <c r="T40" s="302">
        <v>0.035</v>
      </c>
      <c r="U40" s="300">
        <v>0.157</v>
      </c>
      <c r="V40" s="300">
        <v>0.01</v>
      </c>
      <c r="W40" s="300">
        <v>0.056</v>
      </c>
      <c r="X40" s="300">
        <v>0.087</v>
      </c>
      <c r="Y40" s="300">
        <v>0.001</v>
      </c>
      <c r="Z40" s="300">
        <v>0.0</v>
      </c>
      <c r="AA40" s="300">
        <v>0.0</v>
      </c>
      <c r="AB40" s="300">
        <v>0.03</v>
      </c>
      <c r="AC40" s="300">
        <v>0.03</v>
      </c>
      <c r="AD40" s="300">
        <v>0.235</v>
      </c>
      <c r="AE40" s="300">
        <f>SUM(0.01)*1000</f>
        <v>10</v>
      </c>
      <c r="AF40" s="300">
        <f>SUM(0.058)*1000</f>
        <v>58</v>
      </c>
      <c r="AG40" s="300">
        <v>58.0</v>
      </c>
      <c r="AH40" s="300">
        <v>0.34</v>
      </c>
      <c r="AI40" s="300">
        <v>0.017</v>
      </c>
      <c r="AJ40" s="300">
        <v>0.2</v>
      </c>
      <c r="AK40" s="300">
        <v>0.155</v>
      </c>
      <c r="AL40" s="300">
        <v>0.7</v>
      </c>
      <c r="AM40" s="300">
        <v>0.0</v>
      </c>
      <c r="AN40" s="300">
        <v>852.0</v>
      </c>
      <c r="AO40" s="300">
        <v>0.0</v>
      </c>
      <c r="AP40" s="300">
        <v>1.03</v>
      </c>
      <c r="AQ40" s="300">
        <v>0.066</v>
      </c>
      <c r="AR40" s="300">
        <v>0.044</v>
      </c>
      <c r="AS40" s="300">
        <v>0.645</v>
      </c>
      <c r="AT40" s="300">
        <v>0.232</v>
      </c>
      <c r="AU40" s="300">
        <v>0.153</v>
      </c>
      <c r="AV40" s="300">
        <v>14.0</v>
      </c>
      <c r="AW40" s="300">
        <v>0.0</v>
      </c>
      <c r="AX40" s="303">
        <v>8.8</v>
      </c>
    </row>
    <row r="41" ht="15.75" customHeight="1">
      <c r="A41" s="305" t="s">
        <v>242</v>
      </c>
      <c r="B41" s="306" t="s">
        <v>125</v>
      </c>
      <c r="C41" s="298" t="s">
        <v>243</v>
      </c>
      <c r="D41" s="299">
        <v>0.1315</v>
      </c>
      <c r="E41" s="300">
        <v>6.0</v>
      </c>
      <c r="F41" s="300">
        <v>100.0</v>
      </c>
      <c r="G41" s="299">
        <v>0.9801</v>
      </c>
      <c r="H41" s="301">
        <f>SUM( F41)*0.0114</f>
        <v>1.14</v>
      </c>
      <c r="I41" s="300">
        <v>0.07</v>
      </c>
      <c r="J41" s="300">
        <v>0.2</v>
      </c>
      <c r="K41" s="300">
        <v>0.58</v>
      </c>
      <c r="L41" s="300">
        <v>0.0</v>
      </c>
      <c r="M41" s="300">
        <v>0.0</v>
      </c>
      <c r="N41" s="300">
        <v>0.0</v>
      </c>
      <c r="O41" s="300">
        <v>0.0</v>
      </c>
      <c r="P41" s="300">
        <v>0.0</v>
      </c>
      <c r="Q41" s="300">
        <v>0.0</v>
      </c>
      <c r="R41" s="300">
        <v>0.0</v>
      </c>
      <c r="S41" s="302">
        <v>0.0</v>
      </c>
      <c r="T41" s="302">
        <v>0.0</v>
      </c>
      <c r="U41" s="300">
        <v>0.0</v>
      </c>
      <c r="V41" s="300">
        <v>0.0</v>
      </c>
      <c r="W41" s="300">
        <v>0.0</v>
      </c>
      <c r="X41" s="300">
        <v>0.004</v>
      </c>
      <c r="Y41" s="300">
        <v>0.0</v>
      </c>
      <c r="Z41" s="300">
        <v>0.0</v>
      </c>
      <c r="AA41" s="300">
        <v>0.0</v>
      </c>
      <c r="AB41" s="300">
        <v>0.003</v>
      </c>
      <c r="AC41" s="300">
        <v>0.009</v>
      </c>
      <c r="AD41" s="300">
        <v>0.02</v>
      </c>
      <c r="AE41" s="300">
        <f>SUM(0.001)*1000</f>
        <v>1</v>
      </c>
      <c r="AF41" s="300">
        <f>SUM(0.225)*1000</f>
        <v>225</v>
      </c>
      <c r="AG41" s="300">
        <v>225.0</v>
      </c>
      <c r="AH41" s="300">
        <v>0.04</v>
      </c>
      <c r="AI41" s="300">
        <v>0.009</v>
      </c>
      <c r="AJ41" s="300">
        <v>0.24</v>
      </c>
      <c r="AK41" s="300">
        <v>0.005</v>
      </c>
      <c r="AL41" s="300">
        <v>0.0</v>
      </c>
      <c r="AM41" s="300">
        <v>0.0</v>
      </c>
      <c r="AN41" s="300">
        <v>0.0</v>
      </c>
      <c r="AO41" s="300">
        <v>0.0</v>
      </c>
      <c r="AP41" s="300">
        <v>0.0</v>
      </c>
      <c r="AQ41" s="300">
        <v>0.016</v>
      </c>
      <c r="AR41" s="300">
        <v>0.073</v>
      </c>
      <c r="AS41" s="300">
        <v>0.41</v>
      </c>
      <c r="AT41" s="300">
        <v>0.065</v>
      </c>
      <c r="AU41" s="300">
        <v>0.075</v>
      </c>
      <c r="AV41" s="300">
        <v>2.0</v>
      </c>
      <c r="AW41" s="300">
        <v>0.0</v>
      </c>
      <c r="AX41" s="303">
        <v>2.9</v>
      </c>
    </row>
    <row r="42" ht="15.75" customHeight="1">
      <c r="A42" s="305" t="s">
        <v>244</v>
      </c>
      <c r="B42" s="306" t="s">
        <v>125</v>
      </c>
      <c r="C42" s="298" t="s">
        <v>245</v>
      </c>
      <c r="D42" s="299">
        <v>0.1315</v>
      </c>
      <c r="E42" s="300">
        <v>19.0</v>
      </c>
      <c r="F42" s="300">
        <v>100.0</v>
      </c>
      <c r="G42" s="299">
        <v>0.9499</v>
      </c>
      <c r="H42" s="301">
        <f>SUM( F42)*0.72</f>
        <v>72</v>
      </c>
      <c r="I42" s="300">
        <v>0.2</v>
      </c>
      <c r="J42" s="300">
        <v>3.71</v>
      </c>
      <c r="K42" s="300">
        <v>0.39</v>
      </c>
      <c r="L42" s="300">
        <v>0.118</v>
      </c>
      <c r="M42" s="300">
        <v>0.017</v>
      </c>
      <c r="N42" s="300">
        <v>0.028</v>
      </c>
      <c r="O42" s="300">
        <v>0.013</v>
      </c>
      <c r="P42" s="300">
        <v>0.014</v>
      </c>
      <c r="Q42" s="300">
        <v>0.053</v>
      </c>
      <c r="R42" s="300">
        <v>0.032</v>
      </c>
      <c r="S42" s="302">
        <v>0.037</v>
      </c>
      <c r="T42" s="302">
        <v>0.022</v>
      </c>
      <c r="U42" s="300">
        <v>0.026</v>
      </c>
      <c r="V42" s="300">
        <v>0.008</v>
      </c>
      <c r="W42" s="300">
        <v>0.044</v>
      </c>
      <c r="X42" s="300">
        <v>0.002</v>
      </c>
      <c r="Y42" s="300">
        <v>0.0</v>
      </c>
      <c r="Z42" s="300">
        <v>0.0</v>
      </c>
      <c r="AA42" s="300">
        <v>0.0</v>
      </c>
      <c r="AB42" s="300">
        <v>0.024</v>
      </c>
      <c r="AC42" s="300">
        <v>0.02</v>
      </c>
      <c r="AD42" s="300">
        <v>0.25</v>
      </c>
      <c r="AE42" s="300">
        <f>SUM(0.025)*1000</f>
        <v>25</v>
      </c>
      <c r="AF42" s="300">
        <f>SUM(0.105)*1000</f>
        <v>105</v>
      </c>
      <c r="AG42" s="300">
        <v>105.0</v>
      </c>
      <c r="AH42" s="300">
        <v>0.29</v>
      </c>
      <c r="AI42" s="300">
        <v>0.04</v>
      </c>
      <c r="AJ42" s="300">
        <v>0.1</v>
      </c>
      <c r="AK42" s="300">
        <v>0.142</v>
      </c>
      <c r="AL42" s="300">
        <v>1.0</v>
      </c>
      <c r="AM42" s="300">
        <v>0.0</v>
      </c>
      <c r="AN42" s="300">
        <v>0.0</v>
      </c>
      <c r="AO42" s="300">
        <v>0.0</v>
      </c>
      <c r="AP42" s="300">
        <v>0.0</v>
      </c>
      <c r="AQ42" s="300">
        <v>0.03</v>
      </c>
      <c r="AR42" s="300">
        <v>0.057</v>
      </c>
      <c r="AS42" s="300">
        <v>0.08</v>
      </c>
      <c r="AT42" s="300">
        <v>0.043</v>
      </c>
      <c r="AU42" s="300">
        <v>0.032</v>
      </c>
      <c r="AV42" s="300">
        <v>3.0</v>
      </c>
      <c r="AW42" s="300">
        <v>0.0</v>
      </c>
      <c r="AX42" s="303">
        <v>0.0</v>
      </c>
    </row>
    <row r="43" ht="15.75" customHeight="1">
      <c r="A43" s="305" t="s">
        <v>246</v>
      </c>
      <c r="B43" s="306" t="s">
        <v>125</v>
      </c>
      <c r="C43" s="307" t="s">
        <v>247</v>
      </c>
      <c r="D43" s="299">
        <v>0.1315</v>
      </c>
      <c r="E43" s="300">
        <v>0.01</v>
      </c>
      <c r="F43" s="300">
        <v>100.0</v>
      </c>
      <c r="G43" s="299">
        <v>1.0</v>
      </c>
      <c r="H43" s="301">
        <v>0.0</v>
      </c>
      <c r="I43" s="300">
        <v>0.0</v>
      </c>
      <c r="J43" s="300">
        <v>0.0</v>
      </c>
      <c r="K43" s="300">
        <v>0.0</v>
      </c>
      <c r="L43" s="300">
        <v>0.0</v>
      </c>
      <c r="M43" s="300">
        <v>0.0</v>
      </c>
      <c r="N43" s="300">
        <v>0.0</v>
      </c>
      <c r="O43" s="300">
        <v>0.0</v>
      </c>
      <c r="P43" s="300">
        <v>0.0</v>
      </c>
      <c r="Q43" s="300">
        <v>0.0</v>
      </c>
      <c r="R43" s="300">
        <v>0.0</v>
      </c>
      <c r="S43" s="302">
        <v>0.0</v>
      </c>
      <c r="T43" s="302">
        <v>0.0</v>
      </c>
      <c r="U43" s="300">
        <v>0.0</v>
      </c>
      <c r="V43" s="300">
        <v>0.0</v>
      </c>
      <c r="W43" s="300">
        <v>0.0</v>
      </c>
      <c r="X43" s="300">
        <v>0.0</v>
      </c>
      <c r="Y43" s="300">
        <v>0.0</v>
      </c>
      <c r="Z43" s="300">
        <v>0.0</v>
      </c>
      <c r="AA43" s="300">
        <v>0.0</v>
      </c>
      <c r="AB43" s="300">
        <v>0.0</v>
      </c>
      <c r="AC43" s="300">
        <v>0.0</v>
      </c>
      <c r="AD43" s="300">
        <v>0.0</v>
      </c>
      <c r="AE43" s="300">
        <f t="shared" ref="AE43:AF43" si="3">SUM(0)*1000</f>
        <v>0</v>
      </c>
      <c r="AF43" s="300">
        <f t="shared" si="3"/>
        <v>0</v>
      </c>
      <c r="AG43" s="300">
        <v>0.0</v>
      </c>
      <c r="AH43" s="300">
        <v>0.0</v>
      </c>
      <c r="AI43" s="300">
        <v>0.0</v>
      </c>
      <c r="AJ43" s="300">
        <v>0.0</v>
      </c>
      <c r="AK43" s="300">
        <v>0.0</v>
      </c>
      <c r="AL43" s="300">
        <v>0.0</v>
      </c>
      <c r="AM43" s="300">
        <v>0.0</v>
      </c>
      <c r="AN43" s="300">
        <v>0.0</v>
      </c>
      <c r="AO43" s="300">
        <v>0.0</v>
      </c>
      <c r="AP43" s="300">
        <v>0.0</v>
      </c>
      <c r="AQ43" s="300">
        <v>0.0</v>
      </c>
      <c r="AR43" s="300">
        <v>0.0</v>
      </c>
      <c r="AS43" s="300">
        <v>0.0</v>
      </c>
      <c r="AT43" s="300">
        <v>0.0</v>
      </c>
      <c r="AU43" s="300">
        <v>0.0</v>
      </c>
      <c r="AV43" s="300">
        <v>0.0</v>
      </c>
      <c r="AW43" s="300">
        <v>0.0</v>
      </c>
      <c r="AX43" s="300">
        <v>0.0</v>
      </c>
    </row>
    <row r="44" ht="15.75" customHeight="1">
      <c r="A44" s="305" t="s">
        <v>248</v>
      </c>
      <c r="B44" s="306" t="s">
        <v>249</v>
      </c>
      <c r="C44" s="308" t="s">
        <v>250</v>
      </c>
      <c r="D44" s="299">
        <v>0.8</v>
      </c>
      <c r="E44" s="300">
        <v>216.7</v>
      </c>
      <c r="F44" s="300">
        <v>100.0</v>
      </c>
      <c r="G44" s="299">
        <v>0.6153</v>
      </c>
      <c r="H44" s="301">
        <v>17.524</v>
      </c>
      <c r="I44" s="300">
        <v>16.24</v>
      </c>
      <c r="J44" s="300">
        <v>0.027</v>
      </c>
      <c r="K44" s="300">
        <v>5.7</v>
      </c>
      <c r="L44" s="300">
        <v>0.0</v>
      </c>
      <c r="M44" s="300">
        <v>0.0</v>
      </c>
      <c r="N44" s="300">
        <v>0.0</v>
      </c>
      <c r="O44" s="300">
        <v>0.0</v>
      </c>
      <c r="P44" s="300">
        <v>0.0</v>
      </c>
      <c r="Q44" s="300">
        <v>0.0</v>
      </c>
      <c r="R44" s="300">
        <v>0.0</v>
      </c>
      <c r="S44" s="302">
        <v>0.0</v>
      </c>
      <c r="T44" s="302">
        <v>0.0</v>
      </c>
      <c r="U44" s="300">
        <v>0.0</v>
      </c>
      <c r="V44" s="300">
        <v>0.0</v>
      </c>
      <c r="W44" s="300">
        <v>0.0</v>
      </c>
      <c r="X44" s="300">
        <v>2.935</v>
      </c>
      <c r="Y44" s="300">
        <v>0.0</v>
      </c>
      <c r="Z44" s="300">
        <v>0.0</v>
      </c>
      <c r="AA44" s="300">
        <v>0.0</v>
      </c>
      <c r="AB44" s="300">
        <v>1.468</v>
      </c>
      <c r="AC44" s="300">
        <v>0.793</v>
      </c>
      <c r="AD44" s="300">
        <v>0.1813</v>
      </c>
      <c r="AE44" s="300">
        <v>37.3</v>
      </c>
      <c r="AF44" s="300">
        <v>540.0</v>
      </c>
      <c r="AG44" s="300">
        <v>540.0</v>
      </c>
      <c r="AH44" s="300">
        <v>1.791</v>
      </c>
      <c r="AI44" s="300">
        <v>0.0</v>
      </c>
      <c r="AJ44" s="300">
        <v>2.057</v>
      </c>
      <c r="AK44" s="300">
        <v>0.0</v>
      </c>
      <c r="AL44" s="300">
        <v>0.0</v>
      </c>
      <c r="AM44" s="300">
        <v>0.0</v>
      </c>
      <c r="AN44" s="300">
        <v>0.0</v>
      </c>
      <c r="AO44" s="300">
        <v>0.2</v>
      </c>
      <c r="AP44" s="300">
        <v>0.27</v>
      </c>
      <c r="AQ44" s="300">
        <v>0.06</v>
      </c>
      <c r="AR44" s="300">
        <v>0.2</v>
      </c>
      <c r="AS44" s="300">
        <v>0.4</v>
      </c>
      <c r="AT44" s="300">
        <v>0.0692</v>
      </c>
      <c r="AU44" s="300">
        <v>0.01</v>
      </c>
      <c r="AV44" s="300">
        <v>86.0</v>
      </c>
      <c r="AW44" s="300">
        <v>0.47</v>
      </c>
      <c r="AX44" s="303">
        <v>13.3</v>
      </c>
    </row>
    <row r="45" ht="15.75" customHeight="1">
      <c r="A45" s="305" t="s">
        <v>251</v>
      </c>
      <c r="B45" s="306" t="s">
        <v>249</v>
      </c>
      <c r="C45" s="308" t="s">
        <v>250</v>
      </c>
      <c r="D45" s="299">
        <v>0.8</v>
      </c>
      <c r="E45" s="300">
        <v>164.0</v>
      </c>
      <c r="F45" s="300">
        <v>100.0</v>
      </c>
      <c r="G45" s="299">
        <v>0.6895</v>
      </c>
      <c r="H45" s="301">
        <v>15.13</v>
      </c>
      <c r="I45" s="300">
        <v>9.46</v>
      </c>
      <c r="J45" s="300">
        <v>0.65</v>
      </c>
      <c r="K45" s="300">
        <v>4.63</v>
      </c>
      <c r="L45" s="300">
        <v>1.058</v>
      </c>
      <c r="M45" s="300">
        <v>0.545</v>
      </c>
      <c r="N45" s="300">
        <v>0.926</v>
      </c>
      <c r="O45" s="300">
        <v>0.486</v>
      </c>
      <c r="P45" s="300">
        <v>0.225</v>
      </c>
      <c r="Q45" s="300">
        <v>1.316</v>
      </c>
      <c r="R45" s="300">
        <v>1.491</v>
      </c>
      <c r="S45" s="302">
        <v>0.696</v>
      </c>
      <c r="T45" s="302">
        <v>0.592</v>
      </c>
      <c r="U45" s="300">
        <v>0.741</v>
      </c>
      <c r="V45" s="300">
        <v>0.205</v>
      </c>
      <c r="W45" s="300">
        <v>0.87</v>
      </c>
      <c r="X45" s="300">
        <v>1.67</v>
      </c>
      <c r="Y45" s="300">
        <v>0.0</v>
      </c>
      <c r="Z45" s="300">
        <v>0.21</v>
      </c>
      <c r="AA45" s="300">
        <v>0.1</v>
      </c>
      <c r="AB45" s="300">
        <v>1.15</v>
      </c>
      <c r="AC45" s="300">
        <v>0.7</v>
      </c>
      <c r="AD45" s="300">
        <v>0.21</v>
      </c>
      <c r="AE45" s="300">
        <v>40.0</v>
      </c>
      <c r="AF45" s="300">
        <v>95.0</v>
      </c>
      <c r="AG45" s="300">
        <v>95.0</v>
      </c>
      <c r="AH45" s="300">
        <v>1.986</v>
      </c>
      <c r="AI45" s="300">
        <v>0.109</v>
      </c>
      <c r="AJ45" s="300">
        <v>2.882</v>
      </c>
      <c r="AK45" s="300">
        <v>0.035</v>
      </c>
      <c r="AL45" s="300">
        <v>13.5</v>
      </c>
      <c r="AM45" s="300">
        <v>0.0</v>
      </c>
      <c r="AN45" s="300">
        <v>44.0</v>
      </c>
      <c r="AO45" s="300">
        <v>0.0</v>
      </c>
      <c r="AP45" s="300">
        <v>0.0</v>
      </c>
      <c r="AQ45" s="300">
        <v>0.054</v>
      </c>
      <c r="AR45" s="300">
        <v>0.228</v>
      </c>
      <c r="AS45" s="300">
        <v>4.119</v>
      </c>
      <c r="AT45" s="300">
        <v>1.09</v>
      </c>
      <c r="AU45" s="300">
        <v>0.29</v>
      </c>
      <c r="AV45" s="300">
        <v>8.0</v>
      </c>
      <c r="AW45" s="300">
        <v>0.32</v>
      </c>
      <c r="AX45" s="303">
        <v>0.0</v>
      </c>
    </row>
    <row r="46" ht="15.75" customHeight="1">
      <c r="A46" s="305" t="s">
        <v>252</v>
      </c>
      <c r="B46" s="306" t="s">
        <v>249</v>
      </c>
      <c r="C46" s="308" t="s">
        <v>250</v>
      </c>
      <c r="D46" s="299">
        <v>0.8</v>
      </c>
      <c r="E46" s="300">
        <v>244.0</v>
      </c>
      <c r="F46" s="300">
        <v>100.0</v>
      </c>
      <c r="G46" s="299">
        <v>0.6048</v>
      </c>
      <c r="H46" s="301">
        <v>16.57</v>
      </c>
      <c r="I46" s="300">
        <v>19.63</v>
      </c>
      <c r="J46" s="300">
        <v>0.0</v>
      </c>
      <c r="K46" s="300">
        <v>3.53</v>
      </c>
      <c r="L46" s="300">
        <v>1.193</v>
      </c>
      <c r="M46" s="300">
        <v>0.507</v>
      </c>
      <c r="N46" s="300">
        <v>0.86</v>
      </c>
      <c r="O46" s="300">
        <v>0.467</v>
      </c>
      <c r="P46" s="300">
        <v>0.255</v>
      </c>
      <c r="Q46" s="300">
        <v>1.29</v>
      </c>
      <c r="R46" s="300">
        <v>1.425</v>
      </c>
      <c r="S46" s="302">
        <v>0.696</v>
      </c>
      <c r="T46" s="302">
        <v>0.561</v>
      </c>
      <c r="U46" s="300">
        <v>0.74</v>
      </c>
      <c r="V46" s="300">
        <v>0.195</v>
      </c>
      <c r="W46" s="300">
        <v>0.87</v>
      </c>
      <c r="X46" s="300">
        <v>2.95</v>
      </c>
      <c r="Y46" s="300">
        <v>0.0</v>
      </c>
      <c r="Z46" s="300">
        <v>0.11</v>
      </c>
      <c r="AA46" s="300">
        <v>0.05</v>
      </c>
      <c r="AB46" s="300">
        <v>0.92</v>
      </c>
      <c r="AC46" s="300">
        <v>0.55</v>
      </c>
      <c r="AD46" s="300">
        <v>0.17</v>
      </c>
      <c r="AE46" s="300">
        <v>30.0</v>
      </c>
      <c r="AF46" s="300">
        <v>500.0</v>
      </c>
      <c r="AG46" s="300">
        <v>500.0</v>
      </c>
      <c r="AH46" s="300">
        <v>2.146</v>
      </c>
      <c r="AI46" s="300">
        <v>0.041</v>
      </c>
      <c r="AJ46" s="300">
        <v>1.649</v>
      </c>
      <c r="AK46" s="300">
        <v>0.018</v>
      </c>
      <c r="AL46" s="300">
        <v>15.5</v>
      </c>
      <c r="AM46" s="300">
        <v>0.0</v>
      </c>
      <c r="AN46" s="300">
        <v>44.0</v>
      </c>
      <c r="AO46" s="300">
        <v>0.1</v>
      </c>
      <c r="AP46" s="300">
        <v>0.3</v>
      </c>
      <c r="AQ46" s="300">
        <v>0.048</v>
      </c>
      <c r="AR46" s="300">
        <v>0.088</v>
      </c>
      <c r="AS46" s="300">
        <v>5.926</v>
      </c>
      <c r="AT46" s="300">
        <v>0.766</v>
      </c>
      <c r="AU46" s="300">
        <v>0.35</v>
      </c>
      <c r="AV46" s="300">
        <v>4.0</v>
      </c>
      <c r="AW46" s="300">
        <v>0.32</v>
      </c>
      <c r="AX46" s="303">
        <v>56.1</v>
      </c>
    </row>
    <row r="47" ht="15.75" customHeight="1">
      <c r="A47" s="305" t="s">
        <v>253</v>
      </c>
      <c r="B47" s="306" t="s">
        <v>249</v>
      </c>
      <c r="C47" s="308" t="s">
        <v>250</v>
      </c>
      <c r="D47" s="299">
        <v>0.8</v>
      </c>
      <c r="E47" s="300">
        <v>116.0</v>
      </c>
      <c r="F47" s="300">
        <v>100.0</v>
      </c>
      <c r="G47" s="299">
        <v>0.6894</v>
      </c>
      <c r="H47" s="301">
        <v>17.7</v>
      </c>
      <c r="I47" s="300">
        <v>3.75</v>
      </c>
      <c r="J47" s="300">
        <v>1.1</v>
      </c>
      <c r="K47" s="300">
        <v>7.52</v>
      </c>
      <c r="L47" s="300">
        <v>0.935</v>
      </c>
      <c r="M47" s="300">
        <v>0.448</v>
      </c>
      <c r="N47" s="300">
        <v>0.473</v>
      </c>
      <c r="O47" s="300">
        <v>0.432</v>
      </c>
      <c r="P47" s="300">
        <v>0.156</v>
      </c>
      <c r="Q47" s="300">
        <v>1.144</v>
      </c>
      <c r="R47" s="300">
        <v>1.363</v>
      </c>
      <c r="S47" s="302">
        <v>0.532</v>
      </c>
      <c r="T47" s="302">
        <v>0.49</v>
      </c>
      <c r="U47" s="300">
        <v>0.6</v>
      </c>
      <c r="V47" s="300">
        <v>0.176</v>
      </c>
      <c r="W47" s="300">
        <v>0.528</v>
      </c>
      <c r="X47" s="300">
        <v>1.263</v>
      </c>
      <c r="Y47" s="300">
        <v>0.0</v>
      </c>
      <c r="Z47" s="300">
        <v>0.088</v>
      </c>
      <c r="AA47" s="300">
        <v>0.007</v>
      </c>
      <c r="AB47" s="300">
        <v>1.84</v>
      </c>
      <c r="AC47" s="300">
        <v>1.0</v>
      </c>
      <c r="AD47" s="300">
        <v>0.23</v>
      </c>
      <c r="AE47" s="300">
        <v>50.0</v>
      </c>
      <c r="AF47" s="300">
        <v>540.0</v>
      </c>
      <c r="AG47" s="300">
        <v>540.0</v>
      </c>
      <c r="AH47" s="300">
        <v>1.09</v>
      </c>
      <c r="AI47" s="300">
        <v>0.142</v>
      </c>
      <c r="AJ47" s="300">
        <v>4.27</v>
      </c>
      <c r="AK47" s="300">
        <v>0.056</v>
      </c>
      <c r="AL47" s="300">
        <v>28.6</v>
      </c>
      <c r="AM47" s="300">
        <v>0.0</v>
      </c>
      <c r="AN47" s="300">
        <v>13.0</v>
      </c>
      <c r="AO47" s="300">
        <v>0.3</v>
      </c>
      <c r="AP47" s="300">
        <v>0.12</v>
      </c>
      <c r="AQ47" s="300">
        <v>0.051</v>
      </c>
      <c r="AR47" s="300">
        <v>0.211</v>
      </c>
      <c r="AS47" s="300">
        <v>4.924</v>
      </c>
      <c r="AT47" s="300">
        <v>0.801</v>
      </c>
      <c r="AU47" s="300">
        <v>0.364</v>
      </c>
      <c r="AV47" s="300">
        <v>5.0</v>
      </c>
      <c r="AW47" s="300">
        <v>1.76</v>
      </c>
      <c r="AX47" s="303">
        <v>54.0</v>
      </c>
    </row>
    <row r="48" ht="15.75" customHeight="1">
      <c r="A48" s="305" t="s">
        <v>254</v>
      </c>
      <c r="B48" s="306" t="s">
        <v>249</v>
      </c>
      <c r="C48" s="308" t="s">
        <v>250</v>
      </c>
      <c r="D48" s="299">
        <v>0.8</v>
      </c>
      <c r="E48" s="300">
        <v>127.0</v>
      </c>
      <c r="F48" s="300">
        <v>100.0</v>
      </c>
      <c r="G48" s="299">
        <v>0.729</v>
      </c>
      <c r="H48" s="301">
        <v>17.79</v>
      </c>
      <c r="I48" s="300">
        <v>5.76</v>
      </c>
      <c r="J48" s="300">
        <v>0.05</v>
      </c>
      <c r="K48" s="300">
        <v>4.18</v>
      </c>
      <c r="L48" s="300">
        <v>1.239</v>
      </c>
      <c r="M48" s="300">
        <v>0.562</v>
      </c>
      <c r="N48" s="300">
        <v>0.951</v>
      </c>
      <c r="O48" s="300">
        <v>0.502</v>
      </c>
      <c r="P48" s="300">
        <v>0.252</v>
      </c>
      <c r="Q48" s="300">
        <v>1.562</v>
      </c>
      <c r="R48" s="300">
        <v>1.756</v>
      </c>
      <c r="S48" s="302">
        <v>0.823</v>
      </c>
      <c r="T48" s="302">
        <v>0.714</v>
      </c>
      <c r="U48" s="300">
        <v>0.897</v>
      </c>
      <c r="V48" s="300">
        <v>0.265</v>
      </c>
      <c r="W48" s="300">
        <v>1.019</v>
      </c>
      <c r="X48" s="300">
        <v>0.86</v>
      </c>
      <c r="Y48" s="300">
        <v>0.0</v>
      </c>
      <c r="Z48" s="300">
        <v>0.0</v>
      </c>
      <c r="AA48" s="300">
        <v>0.0</v>
      </c>
      <c r="AB48" s="300">
        <v>0.65</v>
      </c>
      <c r="AC48" s="300">
        <v>0.46</v>
      </c>
      <c r="AD48" s="300">
        <v>0.233</v>
      </c>
      <c r="AE48" s="300">
        <v>32.0</v>
      </c>
      <c r="AF48" s="300">
        <v>63.0</v>
      </c>
      <c r="AG48" s="300">
        <v>63.0</v>
      </c>
      <c r="AH48" s="300">
        <v>1.271</v>
      </c>
      <c r="AI48" s="300">
        <v>0.145</v>
      </c>
      <c r="AJ48" s="300">
        <v>1.743</v>
      </c>
      <c r="AK48" s="300">
        <v>0.026</v>
      </c>
      <c r="AL48" s="300">
        <v>23.7</v>
      </c>
      <c r="AM48" s="300">
        <v>0.0</v>
      </c>
      <c r="AN48" s="300">
        <v>0.0</v>
      </c>
      <c r="AO48" s="300">
        <v>0.0</v>
      </c>
      <c r="AP48" s="300">
        <v>0.0</v>
      </c>
      <c r="AQ48" s="300">
        <v>0.1</v>
      </c>
      <c r="AR48" s="300">
        <v>0.15</v>
      </c>
      <c r="AS48" s="300">
        <v>7.27</v>
      </c>
      <c r="AT48" s="300">
        <v>0.8</v>
      </c>
      <c r="AU48" s="300">
        <v>0.5</v>
      </c>
      <c r="AV48" s="300">
        <v>8.0</v>
      </c>
      <c r="AW48" s="300">
        <v>7.16</v>
      </c>
      <c r="AX48" s="303">
        <v>0.0</v>
      </c>
    </row>
    <row r="49" ht="15.75" customHeight="1">
      <c r="A49" s="305" t="s">
        <v>255</v>
      </c>
      <c r="B49" s="306" t="s">
        <v>256</v>
      </c>
      <c r="C49" s="298" t="s">
        <v>257</v>
      </c>
      <c r="D49" s="299">
        <v>0.2</v>
      </c>
      <c r="E49" s="300">
        <v>98.0</v>
      </c>
      <c r="F49" s="300">
        <v>100.0</v>
      </c>
      <c r="G49" s="299">
        <v>0.798</v>
      </c>
      <c r="H49" s="301">
        <v>11.1</v>
      </c>
      <c r="I49" s="300">
        <v>4.3</v>
      </c>
      <c r="J49" s="300">
        <v>3.38</v>
      </c>
      <c r="K49" s="300">
        <v>1.41</v>
      </c>
      <c r="L49" s="300">
        <v>0.497</v>
      </c>
      <c r="M49" s="300">
        <v>0.326</v>
      </c>
      <c r="N49" s="300">
        <v>0.591</v>
      </c>
      <c r="O49" s="300">
        <v>0.269</v>
      </c>
      <c r="P49" s="300">
        <v>0.066</v>
      </c>
      <c r="Q49" s="300">
        <v>1.12</v>
      </c>
      <c r="R49" s="300">
        <v>0.934</v>
      </c>
      <c r="S49" s="302">
        <v>0.577</v>
      </c>
      <c r="T49" s="302">
        <v>0.604</v>
      </c>
      <c r="U49" s="300">
        <v>0.5</v>
      </c>
      <c r="V49" s="300">
        <v>0.147</v>
      </c>
      <c r="W49" s="300">
        <v>0.748</v>
      </c>
      <c r="X49" s="300">
        <v>0.105</v>
      </c>
      <c r="Y49" s="300">
        <v>0.017</v>
      </c>
      <c r="Z49" s="300">
        <v>0.0</v>
      </c>
      <c r="AA49" s="300">
        <v>0.0</v>
      </c>
      <c r="AB49" s="300">
        <v>0.083</v>
      </c>
      <c r="AC49" s="300">
        <v>0.159</v>
      </c>
      <c r="AD49" s="300">
        <v>0.104</v>
      </c>
      <c r="AE49" s="300">
        <v>8.0</v>
      </c>
      <c r="AF49" s="300">
        <v>315.0</v>
      </c>
      <c r="AG49" s="300">
        <v>315.0</v>
      </c>
      <c r="AH49" s="300">
        <v>0.07</v>
      </c>
      <c r="AI49" s="300">
        <v>0.029</v>
      </c>
      <c r="AJ49" s="300">
        <v>0.4</v>
      </c>
      <c r="AK49" s="300">
        <v>0.002</v>
      </c>
      <c r="AL49" s="300">
        <v>9.7</v>
      </c>
      <c r="AM49" s="300">
        <v>0.0</v>
      </c>
      <c r="AN49" s="300">
        <v>36.0</v>
      </c>
      <c r="AO49" s="300">
        <v>0.1</v>
      </c>
      <c r="AP49" s="300">
        <v>0.08</v>
      </c>
      <c r="AQ49" s="300">
        <v>0.027</v>
      </c>
      <c r="AR49" s="300">
        <v>0.163</v>
      </c>
      <c r="AS49" s="300">
        <v>0.099</v>
      </c>
      <c r="AT49" s="300">
        <v>0.557</v>
      </c>
      <c r="AU49" s="300">
        <v>0.046</v>
      </c>
      <c r="AV49" s="300">
        <v>12.0</v>
      </c>
      <c r="AW49" s="300">
        <v>0.43</v>
      </c>
      <c r="AX49" s="303">
        <v>18.4</v>
      </c>
    </row>
    <row r="50" ht="15.75" customHeight="1">
      <c r="A50" s="305" t="s">
        <v>258</v>
      </c>
      <c r="B50" s="306" t="s">
        <v>259</v>
      </c>
      <c r="C50" s="298" t="s">
        <v>260</v>
      </c>
      <c r="D50" s="299">
        <v>0.2</v>
      </c>
      <c r="E50" s="300">
        <v>43.0</v>
      </c>
      <c r="F50" s="300">
        <v>100.0</v>
      </c>
      <c r="G50" s="299">
        <v>0.897</v>
      </c>
      <c r="H50" s="301">
        <v>3.79</v>
      </c>
      <c r="I50" s="300">
        <v>1.02</v>
      </c>
      <c r="J50" s="300">
        <v>4.77</v>
      </c>
      <c r="K50" s="300">
        <v>0.72</v>
      </c>
      <c r="L50" s="300">
        <v>0.0</v>
      </c>
      <c r="M50" s="300">
        <v>0.0</v>
      </c>
      <c r="N50" s="300">
        <v>0.0</v>
      </c>
      <c r="O50" s="300">
        <v>0.0</v>
      </c>
      <c r="P50" s="300">
        <v>0.0</v>
      </c>
      <c r="Q50" s="300">
        <v>0.0</v>
      </c>
      <c r="R50" s="300">
        <v>0.0</v>
      </c>
      <c r="S50" s="302">
        <v>0.0</v>
      </c>
      <c r="T50" s="302">
        <v>0.0</v>
      </c>
      <c r="U50" s="300">
        <v>0.0</v>
      </c>
      <c r="V50" s="300">
        <v>0.0</v>
      </c>
      <c r="W50" s="300">
        <v>0.0</v>
      </c>
      <c r="X50" s="300">
        <v>0.042</v>
      </c>
      <c r="Y50" s="300">
        <v>0.006</v>
      </c>
      <c r="Z50" s="300">
        <v>0.002</v>
      </c>
      <c r="AA50" s="300">
        <v>0.0</v>
      </c>
      <c r="AB50" s="300">
        <v>0.13</v>
      </c>
      <c r="AC50" s="300">
        <v>0.105</v>
      </c>
      <c r="AD50" s="300">
        <v>0.164</v>
      </c>
      <c r="AE50" s="300">
        <v>12.0</v>
      </c>
      <c r="AF50" s="300">
        <v>40.0</v>
      </c>
      <c r="AG50" s="300">
        <v>40.0</v>
      </c>
      <c r="AH50" s="300">
        <v>0.04</v>
      </c>
      <c r="AI50" s="300">
        <v>0.009</v>
      </c>
      <c r="AJ50" s="300">
        <v>0.46</v>
      </c>
      <c r="AK50" s="300">
        <v>0.005</v>
      </c>
      <c r="AL50" s="300">
        <v>3.6</v>
      </c>
      <c r="AM50" s="300">
        <v>0.0</v>
      </c>
      <c r="AN50" s="300">
        <v>171.0</v>
      </c>
      <c r="AO50" s="300">
        <v>1.0</v>
      </c>
      <c r="AP50" s="300">
        <v>0.02</v>
      </c>
      <c r="AQ50" s="300">
        <v>0.03</v>
      </c>
      <c r="AR50" s="300">
        <v>0.135</v>
      </c>
      <c r="AS50" s="300">
        <v>0.15</v>
      </c>
      <c r="AT50" s="300">
        <v>0.385</v>
      </c>
      <c r="AU50" s="300">
        <v>0.058</v>
      </c>
      <c r="AV50" s="300">
        <v>13.0</v>
      </c>
      <c r="AW50" s="300">
        <v>0.29</v>
      </c>
      <c r="AX50" s="303">
        <v>15.2</v>
      </c>
    </row>
    <row r="51" ht="15.75" customHeight="1">
      <c r="A51" s="305" t="s">
        <v>261</v>
      </c>
      <c r="B51" s="306" t="s">
        <v>259</v>
      </c>
      <c r="C51" s="298" t="s">
        <v>262</v>
      </c>
      <c r="D51" s="299">
        <v>0.2</v>
      </c>
      <c r="E51" s="300">
        <v>97.0</v>
      </c>
      <c r="F51" s="300">
        <v>100.0</v>
      </c>
      <c r="G51" s="299">
        <v>0.813</v>
      </c>
      <c r="H51" s="301">
        <v>9.0</v>
      </c>
      <c r="I51" s="300">
        <v>5.0</v>
      </c>
      <c r="J51" s="300">
        <v>3.98</v>
      </c>
      <c r="K51" s="300">
        <v>0.72</v>
      </c>
      <c r="L51" s="300">
        <v>0.0</v>
      </c>
      <c r="M51" s="300">
        <v>0.0</v>
      </c>
      <c r="N51" s="300">
        <v>0.0</v>
      </c>
      <c r="O51" s="300">
        <v>0.0</v>
      </c>
      <c r="P51" s="300">
        <v>0.0</v>
      </c>
      <c r="Q51" s="300">
        <v>0.0</v>
      </c>
      <c r="R51" s="300">
        <v>0.0</v>
      </c>
      <c r="S51" s="302">
        <v>0.0</v>
      </c>
      <c r="T51" s="302">
        <v>0.0</v>
      </c>
      <c r="U51" s="300">
        <v>0.0</v>
      </c>
      <c r="V51" s="300">
        <v>0.0</v>
      </c>
      <c r="W51" s="300">
        <v>0.0</v>
      </c>
      <c r="X51" s="300">
        <v>0.209</v>
      </c>
      <c r="Y51" s="300">
        <v>0.023</v>
      </c>
      <c r="Z51" s="300">
        <v>0.0</v>
      </c>
      <c r="AA51" s="300">
        <v>0.004</v>
      </c>
      <c r="AB51" s="300">
        <v>0.1</v>
      </c>
      <c r="AC51" s="300">
        <v>0.135</v>
      </c>
      <c r="AD51" s="300">
        <v>0.141</v>
      </c>
      <c r="AE51" s="300">
        <v>11.0</v>
      </c>
      <c r="AF51" s="300">
        <v>35.0</v>
      </c>
      <c r="AG51" s="300">
        <v>35.0</v>
      </c>
      <c r="AH51" s="300">
        <v>0.0</v>
      </c>
      <c r="AI51" s="300">
        <v>0.017</v>
      </c>
      <c r="AJ51" s="300">
        <v>0.52</v>
      </c>
      <c r="AK51" s="300">
        <v>0.009</v>
      </c>
      <c r="AL51" s="300">
        <v>9.7</v>
      </c>
      <c r="AM51" s="300">
        <v>0.0</v>
      </c>
      <c r="AN51" s="300">
        <v>1.0</v>
      </c>
      <c r="AO51" s="300">
        <v>0.0</v>
      </c>
      <c r="AP51" s="300">
        <v>0.01</v>
      </c>
      <c r="AQ51" s="300">
        <v>0.023</v>
      </c>
      <c r="AR51" s="300">
        <v>0.278</v>
      </c>
      <c r="AS51" s="300">
        <v>0.208</v>
      </c>
      <c r="AT51" s="300">
        <v>0.331</v>
      </c>
      <c r="AU51" s="300">
        <v>0.063</v>
      </c>
      <c r="AV51" s="300">
        <v>5.0</v>
      </c>
      <c r="AW51" s="300">
        <v>0.75</v>
      </c>
      <c r="AX51" s="303">
        <v>15.1</v>
      </c>
    </row>
    <row r="52" ht="15.75" customHeight="1">
      <c r="A52" s="305" t="s">
        <v>263</v>
      </c>
      <c r="B52" s="306" t="s">
        <v>264</v>
      </c>
      <c r="C52" s="298" t="s">
        <v>265</v>
      </c>
      <c r="D52" s="299">
        <v>0.05</v>
      </c>
      <c r="E52" s="300">
        <v>89.0</v>
      </c>
      <c r="F52" s="300">
        <v>100.0</v>
      </c>
      <c r="G52" s="299">
        <v>0.749</v>
      </c>
      <c r="H52" s="301">
        <v>1.09</v>
      </c>
      <c r="I52" s="300">
        <v>0.33</v>
      </c>
      <c r="J52" s="300">
        <v>22.8</v>
      </c>
      <c r="K52" s="300">
        <v>0.82</v>
      </c>
      <c r="L52" s="300">
        <v>0.049</v>
      </c>
      <c r="M52" s="300">
        <v>0.077</v>
      </c>
      <c r="N52" s="300">
        <v>0.028</v>
      </c>
      <c r="O52" s="300">
        <v>0.008</v>
      </c>
      <c r="P52" s="300">
        <v>0.009</v>
      </c>
      <c r="Q52" s="300">
        <v>0.068</v>
      </c>
      <c r="R52" s="300">
        <v>0.05</v>
      </c>
      <c r="S52" s="302">
        <v>0.049</v>
      </c>
      <c r="T52" s="302">
        <v>0.009</v>
      </c>
      <c r="U52" s="300">
        <v>0.028</v>
      </c>
      <c r="V52" s="300">
        <v>0.009</v>
      </c>
      <c r="W52" s="300">
        <v>0.047</v>
      </c>
      <c r="X52" s="300">
        <v>0.046</v>
      </c>
      <c r="Y52" s="300">
        <v>0.027</v>
      </c>
      <c r="Z52" s="300">
        <v>0.0</v>
      </c>
      <c r="AA52" s="300">
        <v>0.0</v>
      </c>
      <c r="AB52" s="300">
        <v>0.005</v>
      </c>
      <c r="AC52" s="300">
        <v>0.022</v>
      </c>
      <c r="AD52" s="300">
        <v>0.358</v>
      </c>
      <c r="AE52" s="300">
        <v>27.0</v>
      </c>
      <c r="AF52" s="300">
        <v>1.0</v>
      </c>
      <c r="AG52" s="300">
        <v>1.0</v>
      </c>
      <c r="AH52" s="300">
        <v>0.26</v>
      </c>
      <c r="AI52" s="300">
        <v>0.078</v>
      </c>
      <c r="AJ52" s="300">
        <v>0.15</v>
      </c>
      <c r="AK52" s="300">
        <v>0.27</v>
      </c>
      <c r="AL52" s="300">
        <v>1.0</v>
      </c>
      <c r="AM52" s="300">
        <v>0.0</v>
      </c>
      <c r="AN52" s="300">
        <v>0.0</v>
      </c>
      <c r="AO52" s="300">
        <v>0.0</v>
      </c>
      <c r="AP52" s="300">
        <v>0.1</v>
      </c>
      <c r="AQ52" s="300">
        <v>0.031</v>
      </c>
      <c r="AR52" s="300">
        <v>0.073</v>
      </c>
      <c r="AS52" s="300">
        <v>0.665</v>
      </c>
      <c r="AT52" s="300">
        <v>0.334</v>
      </c>
      <c r="AU52" s="300">
        <v>0.367</v>
      </c>
      <c r="AV52" s="300">
        <v>20.0</v>
      </c>
      <c r="AW52" s="300">
        <v>0.0</v>
      </c>
      <c r="AX52" s="303">
        <v>9.8</v>
      </c>
    </row>
    <row r="53" ht="15.75" customHeight="1">
      <c r="A53" s="305" t="s">
        <v>266</v>
      </c>
      <c r="B53" s="306" t="s">
        <v>264</v>
      </c>
      <c r="C53" s="298" t="s">
        <v>267</v>
      </c>
      <c r="D53" s="299">
        <v>0.05</v>
      </c>
      <c r="E53" s="300">
        <v>57.0</v>
      </c>
      <c r="F53" s="300">
        <v>100.0</v>
      </c>
      <c r="G53" s="299">
        <v>0.842</v>
      </c>
      <c r="H53" s="301">
        <v>0.74</v>
      </c>
      <c r="I53" s="300">
        <v>0.33</v>
      </c>
      <c r="J53" s="300">
        <v>14.5</v>
      </c>
      <c r="K53" s="300">
        <v>0.24</v>
      </c>
      <c r="L53" s="300">
        <v>0.037</v>
      </c>
      <c r="M53" s="300">
        <v>0.011</v>
      </c>
      <c r="N53" s="300">
        <v>0.023</v>
      </c>
      <c r="O53" s="300">
        <v>0.012</v>
      </c>
      <c r="P53" s="300">
        <v>0.008</v>
      </c>
      <c r="Q53" s="300">
        <v>0.044</v>
      </c>
      <c r="R53" s="300">
        <v>0.013</v>
      </c>
      <c r="S53" s="302">
        <v>0.026</v>
      </c>
      <c r="T53" s="302">
        <v>0.009</v>
      </c>
      <c r="U53" s="300">
        <v>0.02</v>
      </c>
      <c r="V53" s="300">
        <v>0.003</v>
      </c>
      <c r="W53" s="300">
        <v>0.031</v>
      </c>
      <c r="X53" s="300">
        <v>0.088</v>
      </c>
      <c r="Y53" s="300">
        <v>0.058</v>
      </c>
      <c r="Z53" s="300">
        <v>0.0</v>
      </c>
      <c r="AA53" s="300">
        <v>0.0</v>
      </c>
      <c r="AB53" s="300">
        <v>0.006</v>
      </c>
      <c r="AC53" s="300">
        <v>0.012</v>
      </c>
      <c r="AD53" s="300">
        <v>0.077</v>
      </c>
      <c r="AE53" s="300">
        <v>6.0</v>
      </c>
      <c r="AF53" s="300">
        <v>1.0</v>
      </c>
      <c r="AG53" s="300">
        <v>1.0</v>
      </c>
      <c r="AH53" s="300">
        <v>0.28</v>
      </c>
      <c r="AI53" s="300">
        <v>0.057</v>
      </c>
      <c r="AJ53" s="300">
        <v>0.16</v>
      </c>
      <c r="AK53" s="300">
        <v>0.336</v>
      </c>
      <c r="AL53" s="300">
        <v>0.1</v>
      </c>
      <c r="AM53" s="300">
        <v>0.0</v>
      </c>
      <c r="AN53" s="300">
        <v>0.0</v>
      </c>
      <c r="AO53" s="300">
        <v>0.0</v>
      </c>
      <c r="AP53" s="300">
        <v>0.57</v>
      </c>
      <c r="AQ53" s="300">
        <v>0.037</v>
      </c>
      <c r="AR53" s="300">
        <v>0.041</v>
      </c>
      <c r="AS53" s="300">
        <v>0.418</v>
      </c>
      <c r="AT53" s="300">
        <v>0.124</v>
      </c>
      <c r="AU53" s="300">
        <v>0.052</v>
      </c>
      <c r="AV53" s="300">
        <v>6.0</v>
      </c>
      <c r="AW53" s="300">
        <v>0.0</v>
      </c>
      <c r="AX53" s="303">
        <v>6.0</v>
      </c>
    </row>
    <row r="54" ht="15.75" customHeight="1">
      <c r="A54" s="305"/>
      <c r="B54" s="309"/>
      <c r="C54" s="307"/>
      <c r="D54" s="299"/>
      <c r="E54" s="300"/>
      <c r="F54" s="300">
        <v>100.0</v>
      </c>
      <c r="G54" s="299"/>
      <c r="H54" s="301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2"/>
      <c r="T54" s="302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3"/>
    </row>
    <row r="55" ht="15.75" customHeight="1">
      <c r="A55" s="305"/>
      <c r="B55" s="309"/>
      <c r="C55" s="307"/>
      <c r="D55" s="299"/>
      <c r="E55" s="300"/>
      <c r="F55" s="300">
        <v>100.0</v>
      </c>
      <c r="G55" s="299"/>
      <c r="H55" s="301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2"/>
      <c r="T55" s="302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3"/>
    </row>
    <row r="56" ht="15.75" customHeight="1">
      <c r="A56" s="305"/>
      <c r="B56" s="309"/>
      <c r="C56" s="307"/>
      <c r="D56" s="299"/>
      <c r="E56" s="300"/>
      <c r="F56" s="300">
        <v>100.0</v>
      </c>
      <c r="G56" s="299"/>
      <c r="H56" s="301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2"/>
      <c r="T56" s="302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3"/>
    </row>
    <row r="57" ht="15.75" customHeight="1">
      <c r="A57" s="305"/>
      <c r="B57" s="309"/>
      <c r="C57" s="307"/>
      <c r="D57" s="299"/>
      <c r="E57" s="300"/>
      <c r="F57" s="300">
        <v>100.0</v>
      </c>
      <c r="G57" s="299"/>
      <c r="H57" s="301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2"/>
      <c r="T57" s="302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3"/>
    </row>
    <row r="58" ht="15.75" customHeight="1">
      <c r="A58" s="305"/>
      <c r="B58" s="309"/>
      <c r="C58" s="307"/>
      <c r="D58" s="299"/>
      <c r="E58" s="300"/>
      <c r="F58" s="300">
        <v>100.0</v>
      </c>
      <c r="G58" s="299"/>
      <c r="H58" s="301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2"/>
      <c r="T58" s="302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0"/>
      <c r="AV58" s="300"/>
      <c r="AW58" s="300"/>
      <c r="AX58" s="303"/>
    </row>
    <row r="59" ht="15.75" customHeight="1">
      <c r="A59" s="305"/>
      <c r="B59" s="309"/>
      <c r="C59" s="307"/>
      <c r="D59" s="299"/>
      <c r="E59" s="300"/>
      <c r="F59" s="300">
        <v>100.0</v>
      </c>
      <c r="G59" s="299"/>
      <c r="H59" s="301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2"/>
      <c r="T59" s="302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3"/>
    </row>
    <row r="60" ht="15.75" customHeight="1">
      <c r="A60" s="305"/>
      <c r="B60" s="309"/>
      <c r="C60" s="307"/>
      <c r="D60" s="299"/>
      <c r="E60" s="300"/>
      <c r="F60" s="300">
        <v>100.0</v>
      </c>
      <c r="G60" s="299"/>
      <c r="H60" s="301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2"/>
      <c r="T60" s="302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3"/>
    </row>
    <row r="61" ht="15.75" customHeight="1">
      <c r="A61" s="305"/>
      <c r="B61" s="309"/>
      <c r="C61" s="307"/>
      <c r="D61" s="299"/>
      <c r="E61" s="300"/>
      <c r="F61" s="300">
        <v>100.0</v>
      </c>
      <c r="G61" s="299"/>
      <c r="H61" s="301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2"/>
      <c r="T61" s="302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3"/>
    </row>
    <row r="62" ht="15.75" customHeight="1">
      <c r="A62" s="305"/>
      <c r="B62" s="309"/>
      <c r="C62" s="307"/>
      <c r="D62" s="299"/>
      <c r="E62" s="300"/>
      <c r="F62" s="300">
        <v>100.0</v>
      </c>
      <c r="G62" s="299"/>
      <c r="H62" s="301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2"/>
      <c r="T62" s="302"/>
      <c r="U62" s="300"/>
      <c r="V62" s="300"/>
      <c r="W62" s="300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300"/>
      <c r="AV62" s="300"/>
      <c r="AW62" s="300"/>
      <c r="AX62" s="303"/>
    </row>
    <row r="63" ht="15.75" customHeight="1">
      <c r="A63" s="305"/>
      <c r="B63" s="309"/>
      <c r="C63" s="307"/>
      <c r="D63" s="299"/>
      <c r="E63" s="300"/>
      <c r="F63" s="300">
        <v>100.0</v>
      </c>
      <c r="G63" s="299"/>
      <c r="H63" s="301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2"/>
      <c r="T63" s="302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3"/>
    </row>
    <row r="64" ht="15.75" customHeight="1">
      <c r="A64" s="305"/>
      <c r="B64" s="309"/>
      <c r="C64" s="307"/>
      <c r="D64" s="299"/>
      <c r="E64" s="300"/>
      <c r="F64" s="300">
        <v>100.0</v>
      </c>
      <c r="G64" s="299"/>
      <c r="H64" s="301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2"/>
      <c r="T64" s="302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3"/>
    </row>
    <row r="65" ht="15.75" customHeight="1">
      <c r="A65" s="305"/>
      <c r="B65" s="309"/>
      <c r="C65" s="307"/>
      <c r="D65" s="299"/>
      <c r="E65" s="300"/>
      <c r="F65" s="300">
        <v>100.0</v>
      </c>
      <c r="G65" s="299"/>
      <c r="H65" s="301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2"/>
      <c r="T65" s="302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3"/>
    </row>
    <row r="66" ht="15.75" customHeight="1">
      <c r="A66" s="305"/>
      <c r="B66" s="309"/>
      <c r="C66" s="307"/>
      <c r="D66" s="299"/>
      <c r="E66" s="300"/>
      <c r="F66" s="300">
        <v>100.0</v>
      </c>
      <c r="G66" s="299"/>
      <c r="H66" s="301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2"/>
      <c r="T66" s="302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3"/>
    </row>
    <row r="67" ht="15.75" customHeight="1">
      <c r="A67" s="305"/>
      <c r="B67" s="309"/>
      <c r="C67" s="307"/>
      <c r="D67" s="299"/>
      <c r="E67" s="300"/>
      <c r="F67" s="300">
        <v>100.0</v>
      </c>
      <c r="G67" s="299"/>
      <c r="H67" s="301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2"/>
      <c r="T67" s="302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3"/>
    </row>
    <row r="68" ht="15.75" customHeight="1">
      <c r="A68" s="305"/>
      <c r="B68" s="309"/>
      <c r="C68" s="307"/>
      <c r="D68" s="299"/>
      <c r="E68" s="300"/>
      <c r="F68" s="300">
        <v>100.0</v>
      </c>
      <c r="G68" s="299"/>
      <c r="H68" s="301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2"/>
      <c r="T68" s="302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3"/>
    </row>
    <row r="69" ht="15.75" customHeight="1">
      <c r="A69" s="305"/>
      <c r="B69" s="309"/>
      <c r="C69" s="307"/>
      <c r="D69" s="299"/>
      <c r="E69" s="300"/>
      <c r="F69" s="300">
        <v>100.0</v>
      </c>
      <c r="G69" s="299"/>
      <c r="H69" s="301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2"/>
      <c r="T69" s="302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300"/>
      <c r="AV69" s="300"/>
      <c r="AW69" s="300"/>
      <c r="AX69" s="303"/>
    </row>
    <row r="70" ht="15.75" customHeight="1">
      <c r="A70" s="305"/>
      <c r="B70" s="309"/>
      <c r="C70" s="307"/>
      <c r="D70" s="299"/>
      <c r="E70" s="300"/>
      <c r="F70" s="300">
        <v>100.0</v>
      </c>
      <c r="G70" s="299"/>
      <c r="H70" s="301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2"/>
      <c r="T70" s="302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300"/>
      <c r="AV70" s="300"/>
      <c r="AW70" s="300"/>
      <c r="AX70" s="303"/>
    </row>
    <row r="71" ht="15.75" customHeight="1">
      <c r="A71" s="305"/>
      <c r="B71" s="309"/>
      <c r="C71" s="307"/>
      <c r="D71" s="299"/>
      <c r="E71" s="300"/>
      <c r="F71" s="300">
        <v>100.0</v>
      </c>
      <c r="G71" s="299"/>
      <c r="H71" s="301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2"/>
      <c r="T71" s="302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300"/>
      <c r="AV71" s="300"/>
      <c r="AW71" s="300"/>
      <c r="AX71" s="303"/>
    </row>
    <row r="72" ht="15.75" customHeight="1">
      <c r="A72" s="305"/>
      <c r="B72" s="309"/>
      <c r="C72" s="307"/>
      <c r="D72" s="299"/>
      <c r="E72" s="300"/>
      <c r="F72" s="300">
        <v>100.0</v>
      </c>
      <c r="G72" s="299"/>
      <c r="H72" s="301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2"/>
      <c r="T72" s="302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  <c r="AO72" s="300"/>
      <c r="AP72" s="300"/>
      <c r="AQ72" s="300"/>
      <c r="AR72" s="300"/>
      <c r="AS72" s="300"/>
      <c r="AT72" s="300"/>
      <c r="AU72" s="300"/>
      <c r="AV72" s="300"/>
      <c r="AW72" s="300"/>
      <c r="AX72" s="303"/>
    </row>
    <row r="73" ht="15.75" customHeight="1">
      <c r="A73" s="305"/>
      <c r="B73" s="309"/>
      <c r="C73" s="307"/>
      <c r="D73" s="299"/>
      <c r="E73" s="300"/>
      <c r="F73" s="300">
        <v>100.0</v>
      </c>
      <c r="G73" s="299"/>
      <c r="H73" s="301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2"/>
      <c r="T73" s="302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3"/>
    </row>
    <row r="74" ht="15.75" customHeight="1">
      <c r="A74" s="305"/>
      <c r="B74" s="309"/>
      <c r="C74" s="307"/>
      <c r="D74" s="299"/>
      <c r="E74" s="300"/>
      <c r="F74" s="300">
        <v>100.0</v>
      </c>
      <c r="G74" s="299"/>
      <c r="H74" s="301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2"/>
      <c r="T74" s="302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3"/>
    </row>
    <row r="75" ht="15.75" customHeight="1">
      <c r="A75" s="305"/>
      <c r="B75" s="309"/>
      <c r="C75" s="307"/>
      <c r="D75" s="299"/>
      <c r="E75" s="300"/>
      <c r="F75" s="300">
        <v>100.0</v>
      </c>
      <c r="G75" s="299"/>
      <c r="H75" s="301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2"/>
      <c r="T75" s="302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3"/>
    </row>
    <row r="76" ht="15.75" customHeight="1">
      <c r="A76" s="305"/>
      <c r="B76" s="309"/>
      <c r="C76" s="307"/>
      <c r="D76" s="299"/>
      <c r="E76" s="300"/>
      <c r="F76" s="300">
        <v>100.0</v>
      </c>
      <c r="G76" s="299"/>
      <c r="H76" s="301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2"/>
      <c r="T76" s="302"/>
      <c r="U76" s="30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3"/>
    </row>
    <row r="77" ht="15.75" customHeight="1">
      <c r="A77" s="305"/>
      <c r="B77" s="309"/>
      <c r="C77" s="307"/>
      <c r="D77" s="299"/>
      <c r="E77" s="300"/>
      <c r="F77" s="300">
        <v>100.0</v>
      </c>
      <c r="G77" s="299"/>
      <c r="H77" s="301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2"/>
      <c r="T77" s="302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3"/>
    </row>
    <row r="78" ht="15.75" customHeight="1">
      <c r="A78" s="305"/>
      <c r="B78" s="309"/>
      <c r="C78" s="307"/>
      <c r="D78" s="299"/>
      <c r="E78" s="300"/>
      <c r="F78" s="300">
        <v>100.0</v>
      </c>
      <c r="G78" s="299"/>
      <c r="H78" s="301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2"/>
      <c r="T78" s="302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3"/>
    </row>
    <row r="79" ht="15.75" customHeight="1">
      <c r="A79" s="305"/>
      <c r="B79" s="309"/>
      <c r="C79" s="307"/>
      <c r="D79" s="299"/>
      <c r="E79" s="300"/>
      <c r="F79" s="300">
        <v>100.0</v>
      </c>
      <c r="G79" s="299"/>
      <c r="H79" s="301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2"/>
      <c r="T79" s="302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3"/>
    </row>
    <row r="80" ht="15.75" customHeight="1">
      <c r="A80" s="305"/>
      <c r="B80" s="309"/>
      <c r="C80" s="307"/>
      <c r="D80" s="299"/>
      <c r="E80" s="300"/>
      <c r="F80" s="300">
        <v>100.0</v>
      </c>
      <c r="G80" s="299"/>
      <c r="H80" s="301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2"/>
      <c r="T80" s="302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3"/>
    </row>
    <row r="81" ht="15.75" customHeight="1">
      <c r="A81" s="305"/>
      <c r="B81" s="309"/>
      <c r="C81" s="307"/>
      <c r="D81" s="299"/>
      <c r="E81" s="300"/>
      <c r="F81" s="300">
        <v>100.0</v>
      </c>
      <c r="G81" s="299"/>
      <c r="H81" s="301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2"/>
      <c r="T81" s="302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3"/>
    </row>
    <row r="82" ht="15.75" customHeight="1">
      <c r="A82" s="305"/>
      <c r="B82" s="309"/>
      <c r="C82" s="307"/>
      <c r="D82" s="299"/>
      <c r="E82" s="300"/>
      <c r="F82" s="300">
        <v>100.0</v>
      </c>
      <c r="G82" s="299"/>
      <c r="H82" s="301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2"/>
      <c r="T82" s="302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3"/>
    </row>
    <row r="83" ht="15.75" customHeight="1">
      <c r="A83" s="305"/>
      <c r="B83" s="309"/>
      <c r="C83" s="307"/>
      <c r="D83" s="299"/>
      <c r="E83" s="300"/>
      <c r="F83" s="300">
        <v>100.0</v>
      </c>
      <c r="G83" s="299"/>
      <c r="H83" s="301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2"/>
      <c r="T83" s="302"/>
      <c r="U83" s="30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3"/>
    </row>
    <row r="84" ht="15.75" customHeight="1">
      <c r="A84" s="305"/>
      <c r="B84" s="309"/>
      <c r="C84" s="307"/>
      <c r="D84" s="299"/>
      <c r="E84" s="300"/>
      <c r="F84" s="300">
        <v>100.0</v>
      </c>
      <c r="G84" s="299"/>
      <c r="H84" s="301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2"/>
      <c r="T84" s="302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3"/>
    </row>
    <row r="85" ht="15.75" customHeight="1">
      <c r="A85" s="305"/>
      <c r="B85" s="309"/>
      <c r="C85" s="307"/>
      <c r="D85" s="299"/>
      <c r="E85" s="300"/>
      <c r="F85" s="300">
        <v>100.0</v>
      </c>
      <c r="G85" s="299"/>
      <c r="H85" s="301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2"/>
      <c r="T85" s="302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300"/>
      <c r="AV85" s="300"/>
      <c r="AW85" s="300"/>
      <c r="AX85" s="303"/>
    </row>
    <row r="86" ht="15.75" customHeight="1">
      <c r="A86" s="305"/>
      <c r="B86" s="309"/>
      <c r="C86" s="307"/>
      <c r="D86" s="299"/>
      <c r="E86" s="300"/>
      <c r="F86" s="300">
        <v>100.0</v>
      </c>
      <c r="G86" s="299"/>
      <c r="H86" s="301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2"/>
      <c r="T86" s="302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3"/>
    </row>
    <row r="87" ht="15.75" customHeight="1">
      <c r="A87" s="305"/>
      <c r="B87" s="309"/>
      <c r="C87" s="307"/>
      <c r="D87" s="299"/>
      <c r="E87" s="300"/>
      <c r="F87" s="300">
        <v>100.0</v>
      </c>
      <c r="G87" s="299"/>
      <c r="H87" s="301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2"/>
      <c r="T87" s="302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3"/>
    </row>
    <row r="88" ht="15.75" customHeight="1">
      <c r="A88" s="305"/>
      <c r="B88" s="309"/>
      <c r="C88" s="307"/>
      <c r="D88" s="299"/>
      <c r="E88" s="300"/>
      <c r="F88" s="300">
        <v>100.0</v>
      </c>
      <c r="G88" s="299"/>
      <c r="H88" s="301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2"/>
      <c r="T88" s="302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3"/>
    </row>
    <row r="89" ht="15.75" customHeight="1">
      <c r="A89" s="305"/>
      <c r="B89" s="309"/>
      <c r="C89" s="307"/>
      <c r="D89" s="299"/>
      <c r="E89" s="300"/>
      <c r="F89" s="300">
        <v>100.0</v>
      </c>
      <c r="G89" s="299"/>
      <c r="H89" s="301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2"/>
      <c r="T89" s="302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3"/>
    </row>
    <row r="90" ht="15.75" customHeight="1">
      <c r="A90" s="305"/>
      <c r="B90" s="309"/>
      <c r="C90" s="307"/>
      <c r="D90" s="299"/>
      <c r="E90" s="300"/>
      <c r="F90" s="300">
        <v>100.0</v>
      </c>
      <c r="G90" s="299"/>
      <c r="H90" s="301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2"/>
      <c r="T90" s="302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3"/>
    </row>
    <row r="91" ht="15.75" customHeight="1">
      <c r="A91" s="305"/>
      <c r="B91" s="309"/>
      <c r="C91" s="307"/>
      <c r="D91" s="299"/>
      <c r="E91" s="300"/>
      <c r="F91" s="300">
        <v>100.0</v>
      </c>
      <c r="G91" s="299"/>
      <c r="H91" s="301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2"/>
      <c r="T91" s="302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3"/>
    </row>
    <row r="92" ht="15.75" customHeight="1">
      <c r="A92" s="305"/>
      <c r="B92" s="309"/>
      <c r="C92" s="307"/>
      <c r="D92" s="299"/>
      <c r="E92" s="300"/>
      <c r="F92" s="300">
        <v>100.0</v>
      </c>
      <c r="G92" s="299"/>
      <c r="H92" s="301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2"/>
      <c r="T92" s="302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3"/>
    </row>
    <row r="93" ht="15.75" customHeight="1">
      <c r="A93" s="305"/>
      <c r="B93" s="309"/>
      <c r="C93" s="307"/>
      <c r="D93" s="299"/>
      <c r="E93" s="300"/>
      <c r="F93" s="300">
        <v>100.0</v>
      </c>
      <c r="G93" s="299"/>
      <c r="H93" s="301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2"/>
      <c r="T93" s="302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3"/>
    </row>
    <row r="94" ht="15.75" customHeight="1">
      <c r="A94" s="305"/>
      <c r="B94" s="309"/>
      <c r="C94" s="307"/>
      <c r="D94" s="299"/>
      <c r="E94" s="300"/>
      <c r="F94" s="300">
        <v>100.0</v>
      </c>
      <c r="G94" s="299"/>
      <c r="H94" s="301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2"/>
      <c r="T94" s="302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3"/>
    </row>
    <row r="95" ht="15.75" customHeight="1">
      <c r="A95" s="305"/>
      <c r="B95" s="309"/>
      <c r="C95" s="307"/>
      <c r="D95" s="299"/>
      <c r="E95" s="300"/>
      <c r="F95" s="300">
        <v>100.0</v>
      </c>
      <c r="G95" s="299"/>
      <c r="H95" s="301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2"/>
      <c r="T95" s="302"/>
      <c r="U95" s="300"/>
      <c r="V95" s="300"/>
      <c r="W95" s="300"/>
      <c r="X95" s="300"/>
      <c r="Y95" s="300"/>
      <c r="Z95" s="300"/>
      <c r="AA95" s="300"/>
      <c r="AB95" s="300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300"/>
      <c r="AV95" s="300"/>
      <c r="AW95" s="300"/>
      <c r="AX95" s="303"/>
    </row>
    <row r="96" ht="15.75" customHeight="1">
      <c r="A96" s="305"/>
      <c r="B96" s="309"/>
      <c r="C96" s="307"/>
      <c r="D96" s="299"/>
      <c r="E96" s="300"/>
      <c r="F96" s="300">
        <v>100.0</v>
      </c>
      <c r="G96" s="299"/>
      <c r="H96" s="301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2"/>
      <c r="T96" s="302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3"/>
    </row>
    <row r="97" ht="15.75" customHeight="1">
      <c r="A97" s="305"/>
      <c r="B97" s="309"/>
      <c r="C97" s="307"/>
      <c r="D97" s="299"/>
      <c r="E97" s="300"/>
      <c r="F97" s="300">
        <v>100.0</v>
      </c>
      <c r="G97" s="299"/>
      <c r="H97" s="301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2"/>
      <c r="T97" s="302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3"/>
    </row>
    <row r="98" ht="15.75" customHeight="1">
      <c r="A98" s="305"/>
      <c r="B98" s="309"/>
      <c r="C98" s="307"/>
      <c r="D98" s="299"/>
      <c r="E98" s="300"/>
      <c r="F98" s="300">
        <v>100.0</v>
      </c>
      <c r="G98" s="299"/>
      <c r="H98" s="301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2"/>
      <c r="T98" s="302"/>
      <c r="U98" s="300"/>
      <c r="V98" s="300"/>
      <c r="W98" s="300"/>
      <c r="X98" s="300"/>
      <c r="Y98" s="300"/>
      <c r="Z98" s="300"/>
      <c r="AA98" s="300"/>
      <c r="AB98" s="300"/>
      <c r="AC98" s="300"/>
      <c r="AD98" s="300"/>
      <c r="AE98" s="300"/>
      <c r="AF98" s="300"/>
      <c r="AG98" s="300"/>
      <c r="AH98" s="300"/>
      <c r="AI98" s="300"/>
      <c r="AJ98" s="300"/>
      <c r="AK98" s="300"/>
      <c r="AL98" s="300"/>
      <c r="AM98" s="300"/>
      <c r="AN98" s="300"/>
      <c r="AO98" s="300"/>
      <c r="AP98" s="300"/>
      <c r="AQ98" s="300"/>
      <c r="AR98" s="300"/>
      <c r="AS98" s="300"/>
      <c r="AT98" s="300"/>
      <c r="AU98" s="300"/>
      <c r="AV98" s="300"/>
      <c r="AW98" s="300"/>
      <c r="AX98" s="303"/>
    </row>
    <row r="99" ht="15.75" customHeight="1">
      <c r="A99" s="305"/>
      <c r="B99" s="309"/>
      <c r="C99" s="307"/>
      <c r="D99" s="299"/>
      <c r="E99" s="300"/>
      <c r="F99" s="300">
        <v>100.0</v>
      </c>
      <c r="G99" s="299"/>
      <c r="H99" s="301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2"/>
      <c r="T99" s="302"/>
      <c r="U99" s="300"/>
      <c r="V99" s="300"/>
      <c r="W99" s="300"/>
      <c r="X99" s="300"/>
      <c r="Y99" s="300"/>
      <c r="Z99" s="300"/>
      <c r="AA99" s="300"/>
      <c r="AB99" s="300"/>
      <c r="AC99" s="300"/>
      <c r="AD99" s="300"/>
      <c r="AE99" s="300"/>
      <c r="AF99" s="300"/>
      <c r="AG99" s="300"/>
      <c r="AH99" s="300"/>
      <c r="AI99" s="300"/>
      <c r="AJ99" s="300"/>
      <c r="AK99" s="300"/>
      <c r="AL99" s="300"/>
      <c r="AM99" s="300"/>
      <c r="AN99" s="300"/>
      <c r="AO99" s="300"/>
      <c r="AP99" s="300"/>
      <c r="AQ99" s="300"/>
      <c r="AR99" s="300"/>
      <c r="AS99" s="300"/>
      <c r="AT99" s="300"/>
      <c r="AU99" s="300"/>
      <c r="AV99" s="300"/>
      <c r="AW99" s="300"/>
      <c r="AX99" s="303"/>
    </row>
    <row r="100" ht="15.75" customHeight="1">
      <c r="A100" s="305"/>
      <c r="B100" s="309"/>
      <c r="C100" s="307"/>
      <c r="D100" s="299"/>
      <c r="E100" s="300"/>
      <c r="F100" s="300">
        <v>100.0</v>
      </c>
      <c r="G100" s="299"/>
      <c r="H100" s="301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2"/>
      <c r="T100" s="302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AF100" s="300"/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3"/>
    </row>
    <row r="101" ht="15.75" customHeight="1">
      <c r="A101" s="305"/>
      <c r="B101" s="309"/>
      <c r="C101" s="307"/>
      <c r="D101" s="299"/>
      <c r="E101" s="300"/>
      <c r="F101" s="300">
        <v>100.0</v>
      </c>
      <c r="G101" s="299"/>
      <c r="H101" s="301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2"/>
      <c r="T101" s="302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0"/>
      <c r="AK101" s="300"/>
      <c r="AL101" s="300"/>
      <c r="AM101" s="300"/>
      <c r="AN101" s="300"/>
      <c r="AO101" s="300"/>
      <c r="AP101" s="300"/>
      <c r="AQ101" s="300"/>
      <c r="AR101" s="300"/>
      <c r="AS101" s="300"/>
      <c r="AT101" s="300"/>
      <c r="AU101" s="300"/>
      <c r="AV101" s="300"/>
      <c r="AW101" s="300"/>
      <c r="AX101" s="303"/>
    </row>
    <row r="102" ht="15.75" customHeight="1">
      <c r="A102" s="305"/>
      <c r="B102" s="309"/>
      <c r="C102" s="307"/>
      <c r="D102" s="299"/>
      <c r="E102" s="300"/>
      <c r="F102" s="300">
        <v>100.0</v>
      </c>
      <c r="G102" s="299"/>
      <c r="H102" s="301"/>
      <c r="I102" s="300"/>
      <c r="J102" s="300"/>
      <c r="K102" s="300"/>
      <c r="L102" s="300"/>
      <c r="M102" s="300"/>
      <c r="N102" s="300"/>
      <c r="O102" s="300"/>
      <c r="P102" s="300"/>
      <c r="Q102" s="300"/>
      <c r="R102" s="300"/>
      <c r="S102" s="302"/>
      <c r="T102" s="302"/>
      <c r="U102" s="300"/>
      <c r="V102" s="300"/>
      <c r="W102" s="300"/>
      <c r="X102" s="300"/>
      <c r="Y102" s="300"/>
      <c r="Z102" s="300"/>
      <c r="AA102" s="300"/>
      <c r="AB102" s="300"/>
      <c r="AC102" s="300"/>
      <c r="AD102" s="300"/>
      <c r="AE102" s="300"/>
      <c r="AF102" s="300"/>
      <c r="AG102" s="300"/>
      <c r="AH102" s="300"/>
      <c r="AI102" s="300"/>
      <c r="AJ102" s="300"/>
      <c r="AK102" s="300"/>
      <c r="AL102" s="300"/>
      <c r="AM102" s="300"/>
      <c r="AN102" s="300"/>
      <c r="AO102" s="300"/>
      <c r="AP102" s="300"/>
      <c r="AQ102" s="300"/>
      <c r="AR102" s="300"/>
      <c r="AS102" s="300"/>
      <c r="AT102" s="300"/>
      <c r="AU102" s="300"/>
      <c r="AV102" s="300"/>
      <c r="AW102" s="300"/>
      <c r="AX102" s="303"/>
    </row>
    <row r="103" ht="15.75" customHeight="1">
      <c r="A103" s="305"/>
      <c r="B103" s="309"/>
      <c r="C103" s="307"/>
      <c r="D103" s="299"/>
      <c r="E103" s="300"/>
      <c r="F103" s="300">
        <v>100.0</v>
      </c>
      <c r="G103" s="299"/>
      <c r="H103" s="301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2"/>
      <c r="T103" s="302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3"/>
    </row>
    <row r="104" ht="15.75" customHeight="1">
      <c r="A104" s="305"/>
      <c r="B104" s="309"/>
      <c r="C104" s="307"/>
      <c r="D104" s="299"/>
      <c r="E104" s="300"/>
      <c r="F104" s="300">
        <v>100.0</v>
      </c>
      <c r="G104" s="299"/>
      <c r="H104" s="301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2"/>
      <c r="T104" s="302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300"/>
      <c r="AV104" s="300"/>
      <c r="AW104" s="300"/>
      <c r="AX104" s="303"/>
    </row>
    <row r="105" ht="15.75" customHeight="1">
      <c r="A105" s="305"/>
      <c r="B105" s="309"/>
      <c r="C105" s="307"/>
      <c r="D105" s="299"/>
      <c r="E105" s="300"/>
      <c r="F105" s="300">
        <v>100.0</v>
      </c>
      <c r="G105" s="299"/>
      <c r="H105" s="301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2"/>
      <c r="T105" s="302"/>
      <c r="U105" s="300"/>
      <c r="V105" s="300"/>
      <c r="W105" s="300"/>
      <c r="X105" s="300"/>
      <c r="Y105" s="300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300"/>
      <c r="AV105" s="300"/>
      <c r="AW105" s="300"/>
      <c r="AX105" s="303"/>
    </row>
    <row r="106" ht="15.75" customHeight="1">
      <c r="A106" s="305"/>
      <c r="B106" s="309"/>
      <c r="C106" s="307"/>
      <c r="D106" s="299"/>
      <c r="E106" s="300"/>
      <c r="F106" s="300">
        <v>100.0</v>
      </c>
      <c r="G106" s="299"/>
      <c r="H106" s="301"/>
      <c r="I106" s="300"/>
      <c r="J106" s="300"/>
      <c r="K106" s="300"/>
      <c r="L106" s="300"/>
      <c r="M106" s="300"/>
      <c r="N106" s="300"/>
      <c r="O106" s="300"/>
      <c r="P106" s="300"/>
      <c r="Q106" s="300"/>
      <c r="R106" s="300"/>
      <c r="S106" s="302"/>
      <c r="T106" s="302"/>
      <c r="U106" s="300"/>
      <c r="V106" s="300"/>
      <c r="W106" s="300"/>
      <c r="X106" s="300"/>
      <c r="Y106" s="300"/>
      <c r="Z106" s="300"/>
      <c r="AA106" s="300"/>
      <c r="AB106" s="300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300"/>
      <c r="AV106" s="300"/>
      <c r="AW106" s="300"/>
      <c r="AX106" s="303"/>
    </row>
    <row r="107" ht="15.75" customHeight="1">
      <c r="A107" s="305"/>
      <c r="B107" s="309"/>
      <c r="C107" s="307"/>
      <c r="D107" s="299"/>
      <c r="E107" s="300"/>
      <c r="F107" s="300">
        <v>100.0</v>
      </c>
      <c r="G107" s="299"/>
      <c r="H107" s="301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2"/>
      <c r="T107" s="302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300"/>
      <c r="AV107" s="300"/>
      <c r="AW107" s="300"/>
      <c r="AX107" s="303"/>
    </row>
    <row r="108" ht="15.75" customHeight="1">
      <c r="A108" s="305"/>
      <c r="B108" s="309"/>
      <c r="C108" s="307"/>
      <c r="D108" s="299"/>
      <c r="E108" s="300"/>
      <c r="F108" s="300">
        <v>100.0</v>
      </c>
      <c r="G108" s="299"/>
      <c r="H108" s="301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2"/>
      <c r="T108" s="302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3"/>
    </row>
    <row r="109" ht="15.75" customHeight="1">
      <c r="A109" s="305"/>
      <c r="B109" s="309"/>
      <c r="C109" s="307"/>
      <c r="D109" s="299"/>
      <c r="E109" s="300"/>
      <c r="F109" s="300">
        <v>100.0</v>
      </c>
      <c r="G109" s="299"/>
      <c r="H109" s="301"/>
      <c r="I109" s="300"/>
      <c r="J109" s="300"/>
      <c r="K109" s="300"/>
      <c r="L109" s="300"/>
      <c r="M109" s="300"/>
      <c r="N109" s="300"/>
      <c r="O109" s="300"/>
      <c r="P109" s="300"/>
      <c r="Q109" s="300"/>
      <c r="R109" s="300"/>
      <c r="S109" s="302"/>
      <c r="T109" s="302"/>
      <c r="U109" s="300"/>
      <c r="V109" s="300"/>
      <c r="W109" s="300"/>
      <c r="X109" s="300"/>
      <c r="Y109" s="300"/>
      <c r="Z109" s="300"/>
      <c r="AA109" s="300"/>
      <c r="AB109" s="300"/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3"/>
    </row>
    <row r="110" ht="15.75" customHeight="1">
      <c r="A110" s="305"/>
      <c r="B110" s="309"/>
      <c r="C110" s="307"/>
      <c r="D110" s="299"/>
      <c r="E110" s="300"/>
      <c r="F110" s="300">
        <v>100.0</v>
      </c>
      <c r="G110" s="299"/>
      <c r="H110" s="301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2"/>
      <c r="T110" s="302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0"/>
      <c r="AM110" s="300"/>
      <c r="AN110" s="300"/>
      <c r="AO110" s="300"/>
      <c r="AP110" s="300"/>
      <c r="AQ110" s="300"/>
      <c r="AR110" s="300"/>
      <c r="AS110" s="300"/>
      <c r="AT110" s="300"/>
      <c r="AU110" s="300"/>
      <c r="AV110" s="300"/>
      <c r="AW110" s="300"/>
      <c r="AX110" s="303"/>
    </row>
    <row r="111" ht="15.75" customHeight="1">
      <c r="A111" s="305"/>
      <c r="B111" s="309"/>
      <c r="C111" s="307"/>
      <c r="D111" s="299"/>
      <c r="E111" s="300"/>
      <c r="F111" s="300">
        <v>100.0</v>
      </c>
      <c r="G111" s="299"/>
      <c r="H111" s="301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2"/>
      <c r="T111" s="302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3"/>
    </row>
    <row r="112" ht="15.75" customHeight="1">
      <c r="A112" s="305"/>
      <c r="B112" s="309"/>
      <c r="C112" s="307"/>
      <c r="D112" s="299"/>
      <c r="E112" s="300"/>
      <c r="F112" s="300">
        <v>100.0</v>
      </c>
      <c r="G112" s="299"/>
      <c r="H112" s="301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2"/>
      <c r="T112" s="302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3"/>
    </row>
    <row r="113" ht="15.75" customHeight="1">
      <c r="A113" s="305"/>
      <c r="B113" s="309"/>
      <c r="C113" s="307"/>
      <c r="D113" s="299"/>
      <c r="E113" s="300"/>
      <c r="F113" s="300">
        <v>100.0</v>
      </c>
      <c r="G113" s="299"/>
      <c r="H113" s="301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2"/>
      <c r="T113" s="302"/>
      <c r="U113" s="300"/>
      <c r="V113" s="300"/>
      <c r="W113" s="300"/>
      <c r="X113" s="300"/>
      <c r="Y113" s="300"/>
      <c r="Z113" s="300"/>
      <c r="AA113" s="300"/>
      <c r="AB113" s="300"/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3"/>
    </row>
    <row r="114" ht="15.75" customHeight="1">
      <c r="A114" s="305"/>
      <c r="B114" s="309"/>
      <c r="C114" s="307"/>
      <c r="D114" s="299"/>
      <c r="E114" s="300"/>
      <c r="F114" s="300">
        <v>100.0</v>
      </c>
      <c r="G114" s="299"/>
      <c r="H114" s="301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302"/>
      <c r="T114" s="302"/>
      <c r="U114" s="300"/>
      <c r="V114" s="300"/>
      <c r="W114" s="300"/>
      <c r="X114" s="300"/>
      <c r="Y114" s="300"/>
      <c r="Z114" s="300"/>
      <c r="AA114" s="300"/>
      <c r="AB114" s="300"/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300"/>
      <c r="AV114" s="300"/>
      <c r="AW114" s="300"/>
      <c r="AX114" s="303"/>
    </row>
    <row r="115" ht="15.75" customHeight="1">
      <c r="A115" s="305"/>
      <c r="B115" s="309"/>
      <c r="C115" s="307"/>
      <c r="D115" s="299"/>
      <c r="E115" s="300"/>
      <c r="F115" s="300">
        <v>100.0</v>
      </c>
      <c r="G115" s="299"/>
      <c r="H115" s="301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302"/>
      <c r="T115" s="302"/>
      <c r="U115" s="300"/>
      <c r="V115" s="300"/>
      <c r="W115" s="300"/>
      <c r="X115" s="300"/>
      <c r="Y115" s="300"/>
      <c r="Z115" s="300"/>
      <c r="AA115" s="300"/>
      <c r="AB115" s="300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3"/>
    </row>
    <row r="116" ht="15.75" customHeight="1">
      <c r="A116" s="305"/>
      <c r="B116" s="309"/>
      <c r="C116" s="307"/>
      <c r="D116" s="299"/>
      <c r="E116" s="300"/>
      <c r="F116" s="300">
        <v>100.0</v>
      </c>
      <c r="G116" s="299"/>
      <c r="H116" s="301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302"/>
      <c r="T116" s="302"/>
      <c r="U116" s="300"/>
      <c r="V116" s="300"/>
      <c r="W116" s="300"/>
      <c r="X116" s="300"/>
      <c r="Y116" s="300"/>
      <c r="Z116" s="300"/>
      <c r="AA116" s="300"/>
      <c r="AB116" s="300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300"/>
      <c r="AV116" s="300"/>
      <c r="AW116" s="300"/>
      <c r="AX116" s="303"/>
    </row>
    <row r="117" ht="15.75" customHeight="1">
      <c r="A117" s="305"/>
      <c r="B117" s="309"/>
      <c r="C117" s="307"/>
      <c r="D117" s="299"/>
      <c r="E117" s="300"/>
      <c r="F117" s="300">
        <v>100.0</v>
      </c>
      <c r="G117" s="299"/>
      <c r="H117" s="301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302"/>
      <c r="T117" s="302"/>
      <c r="U117" s="300"/>
      <c r="V117" s="300"/>
      <c r="W117" s="300"/>
      <c r="X117" s="300"/>
      <c r="Y117" s="300"/>
      <c r="Z117" s="300"/>
      <c r="AA117" s="300"/>
      <c r="AB117" s="300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300"/>
      <c r="AV117" s="300"/>
      <c r="AW117" s="300"/>
      <c r="AX117" s="303"/>
    </row>
    <row r="118" ht="15.75" customHeight="1">
      <c r="A118" s="305"/>
      <c r="B118" s="309"/>
      <c r="C118" s="307"/>
      <c r="D118" s="299"/>
      <c r="E118" s="300"/>
      <c r="F118" s="300">
        <v>100.0</v>
      </c>
      <c r="G118" s="299"/>
      <c r="H118" s="301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2"/>
      <c r="T118" s="302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3"/>
    </row>
    <row r="119" ht="15.75" customHeight="1">
      <c r="A119" s="305"/>
      <c r="B119" s="309"/>
      <c r="C119" s="307"/>
      <c r="D119" s="299"/>
      <c r="E119" s="300"/>
      <c r="F119" s="300">
        <v>100.0</v>
      </c>
      <c r="G119" s="299"/>
      <c r="H119" s="301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2"/>
      <c r="T119" s="302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3"/>
    </row>
    <row r="120" ht="15.75" customHeight="1">
      <c r="A120" s="305"/>
      <c r="B120" s="309"/>
      <c r="C120" s="307"/>
      <c r="D120" s="299"/>
      <c r="E120" s="300"/>
      <c r="F120" s="300">
        <v>100.0</v>
      </c>
      <c r="G120" s="299"/>
      <c r="H120" s="301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2"/>
      <c r="T120" s="302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3"/>
    </row>
    <row r="121" ht="15.75" customHeight="1">
      <c r="A121" s="305"/>
      <c r="B121" s="309"/>
      <c r="C121" s="307"/>
      <c r="D121" s="299"/>
      <c r="E121" s="300"/>
      <c r="F121" s="300">
        <v>100.0</v>
      </c>
      <c r="G121" s="299"/>
      <c r="H121" s="301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302"/>
      <c r="T121" s="302"/>
      <c r="U121" s="300"/>
      <c r="V121" s="300"/>
      <c r="W121" s="300"/>
      <c r="X121" s="300"/>
      <c r="Y121" s="300"/>
      <c r="Z121" s="300"/>
      <c r="AA121" s="300"/>
      <c r="AB121" s="300"/>
      <c r="AC121" s="300"/>
      <c r="AD121" s="300"/>
      <c r="AE121" s="300"/>
      <c r="AF121" s="300"/>
      <c r="AG121" s="300"/>
      <c r="AH121" s="300"/>
      <c r="AI121" s="300"/>
      <c r="AJ121" s="300"/>
      <c r="AK121" s="300"/>
      <c r="AL121" s="300"/>
      <c r="AM121" s="300"/>
      <c r="AN121" s="300"/>
      <c r="AO121" s="300"/>
      <c r="AP121" s="300"/>
      <c r="AQ121" s="300"/>
      <c r="AR121" s="300"/>
      <c r="AS121" s="300"/>
      <c r="AT121" s="300"/>
      <c r="AU121" s="300"/>
      <c r="AV121" s="300"/>
      <c r="AW121" s="300"/>
      <c r="AX121" s="303"/>
    </row>
    <row r="122" ht="15.75" customHeight="1">
      <c r="A122" s="305"/>
      <c r="B122" s="309"/>
      <c r="C122" s="307"/>
      <c r="D122" s="299"/>
      <c r="E122" s="300"/>
      <c r="F122" s="300">
        <v>100.0</v>
      </c>
      <c r="G122" s="299"/>
      <c r="H122" s="301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2"/>
      <c r="T122" s="302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300"/>
      <c r="AQ122" s="300"/>
      <c r="AR122" s="300"/>
      <c r="AS122" s="300"/>
      <c r="AT122" s="300"/>
      <c r="AU122" s="300"/>
      <c r="AV122" s="300"/>
      <c r="AW122" s="300"/>
      <c r="AX122" s="303"/>
    </row>
    <row r="123" ht="15.75" customHeight="1">
      <c r="A123" s="305"/>
      <c r="B123" s="309"/>
      <c r="C123" s="307"/>
      <c r="D123" s="299"/>
      <c r="E123" s="300"/>
      <c r="F123" s="300">
        <v>100.0</v>
      </c>
      <c r="G123" s="299"/>
      <c r="H123" s="301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302"/>
      <c r="T123" s="302"/>
      <c r="U123" s="300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300"/>
      <c r="AO123" s="300"/>
      <c r="AP123" s="300"/>
      <c r="AQ123" s="300"/>
      <c r="AR123" s="300"/>
      <c r="AS123" s="300"/>
      <c r="AT123" s="300"/>
      <c r="AU123" s="300"/>
      <c r="AV123" s="300"/>
      <c r="AW123" s="300"/>
      <c r="AX123" s="303"/>
    </row>
    <row r="124" ht="15.75" customHeight="1">
      <c r="A124" s="305"/>
      <c r="B124" s="309"/>
      <c r="C124" s="307"/>
      <c r="D124" s="299"/>
      <c r="E124" s="300"/>
      <c r="F124" s="300">
        <v>100.0</v>
      </c>
      <c r="G124" s="299"/>
      <c r="H124" s="301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2"/>
      <c r="T124" s="302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300"/>
      <c r="AO124" s="300"/>
      <c r="AP124" s="300"/>
      <c r="AQ124" s="300"/>
      <c r="AR124" s="300"/>
      <c r="AS124" s="300"/>
      <c r="AT124" s="300"/>
      <c r="AU124" s="300"/>
      <c r="AV124" s="300"/>
      <c r="AW124" s="300"/>
      <c r="AX124" s="303"/>
    </row>
    <row r="125" ht="15.75" customHeight="1">
      <c r="A125" s="305"/>
      <c r="B125" s="309"/>
      <c r="C125" s="307"/>
      <c r="D125" s="299"/>
      <c r="E125" s="300"/>
      <c r="F125" s="300">
        <v>100.0</v>
      </c>
      <c r="G125" s="299"/>
      <c r="H125" s="301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2"/>
      <c r="T125" s="302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300"/>
      <c r="AV125" s="300"/>
      <c r="AW125" s="300"/>
      <c r="AX125" s="303"/>
    </row>
    <row r="126" ht="15.75" customHeight="1">
      <c r="A126" s="305"/>
      <c r="B126" s="309"/>
      <c r="C126" s="307"/>
      <c r="D126" s="299"/>
      <c r="E126" s="300"/>
      <c r="F126" s="300">
        <v>100.0</v>
      </c>
      <c r="G126" s="299"/>
      <c r="H126" s="301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2"/>
      <c r="T126" s="302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300"/>
      <c r="AV126" s="300"/>
      <c r="AW126" s="300"/>
      <c r="AX126" s="303"/>
    </row>
    <row r="127" ht="15.75" customHeight="1">
      <c r="A127" s="305"/>
      <c r="B127" s="309"/>
      <c r="C127" s="307"/>
      <c r="D127" s="299"/>
      <c r="E127" s="300"/>
      <c r="F127" s="300">
        <v>100.0</v>
      </c>
      <c r="G127" s="299"/>
      <c r="H127" s="301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302"/>
      <c r="T127" s="302"/>
      <c r="U127" s="300"/>
      <c r="V127" s="300"/>
      <c r="W127" s="300"/>
      <c r="X127" s="300"/>
      <c r="Y127" s="300"/>
      <c r="Z127" s="300"/>
      <c r="AA127" s="300"/>
      <c r="AB127" s="300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300"/>
      <c r="AV127" s="300"/>
      <c r="AW127" s="300"/>
      <c r="AX127" s="303"/>
    </row>
    <row r="128" ht="15.75" customHeight="1">
      <c r="A128" s="305"/>
      <c r="B128" s="309"/>
      <c r="C128" s="307"/>
      <c r="D128" s="299"/>
      <c r="E128" s="300"/>
      <c r="F128" s="300">
        <v>100.0</v>
      </c>
      <c r="G128" s="299"/>
      <c r="H128" s="301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302"/>
      <c r="T128" s="302"/>
      <c r="U128" s="300"/>
      <c r="V128" s="300"/>
      <c r="W128" s="300"/>
      <c r="X128" s="300"/>
      <c r="Y128" s="300"/>
      <c r="Z128" s="300"/>
      <c r="AA128" s="300"/>
      <c r="AB128" s="300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300"/>
      <c r="AV128" s="300"/>
      <c r="AW128" s="300"/>
      <c r="AX128" s="303"/>
    </row>
    <row r="129" ht="15.75" customHeight="1">
      <c r="A129" s="305"/>
      <c r="B129" s="309"/>
      <c r="C129" s="307"/>
      <c r="D129" s="299"/>
      <c r="E129" s="300"/>
      <c r="F129" s="300">
        <v>100.0</v>
      </c>
      <c r="G129" s="299"/>
      <c r="H129" s="301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302"/>
      <c r="T129" s="302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3"/>
    </row>
    <row r="130" ht="15.75" customHeight="1">
      <c r="A130" s="305"/>
      <c r="B130" s="309"/>
      <c r="C130" s="307"/>
      <c r="D130" s="299"/>
      <c r="E130" s="300"/>
      <c r="F130" s="300">
        <v>100.0</v>
      </c>
      <c r="G130" s="299"/>
      <c r="H130" s="301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302"/>
      <c r="T130" s="302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3"/>
    </row>
    <row r="131" ht="15.75" customHeight="1">
      <c r="A131" s="305"/>
      <c r="B131" s="309"/>
      <c r="C131" s="307"/>
      <c r="D131" s="299"/>
      <c r="E131" s="300"/>
      <c r="F131" s="300">
        <v>100.0</v>
      </c>
      <c r="G131" s="299"/>
      <c r="H131" s="301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302"/>
      <c r="T131" s="302"/>
      <c r="U131" s="300"/>
      <c r="V131" s="300"/>
      <c r="W131" s="300"/>
      <c r="X131" s="300"/>
      <c r="Y131" s="300"/>
      <c r="Z131" s="300"/>
      <c r="AA131" s="300"/>
      <c r="AB131" s="300"/>
      <c r="AC131" s="300"/>
      <c r="AD131" s="300"/>
      <c r="AE131" s="300"/>
      <c r="AF131" s="300"/>
      <c r="AG131" s="300"/>
      <c r="AH131" s="300"/>
      <c r="AI131" s="300"/>
      <c r="AJ131" s="300"/>
      <c r="AK131" s="300"/>
      <c r="AL131" s="300"/>
      <c r="AM131" s="300"/>
      <c r="AN131" s="300"/>
      <c r="AO131" s="300"/>
      <c r="AP131" s="300"/>
      <c r="AQ131" s="300"/>
      <c r="AR131" s="300"/>
      <c r="AS131" s="300"/>
      <c r="AT131" s="300"/>
      <c r="AU131" s="300"/>
      <c r="AV131" s="300"/>
      <c r="AW131" s="300"/>
      <c r="AX131" s="303"/>
    </row>
    <row r="132" ht="15.75" customHeight="1">
      <c r="A132" s="305"/>
      <c r="B132" s="309"/>
      <c r="C132" s="307"/>
      <c r="D132" s="299"/>
      <c r="E132" s="300"/>
      <c r="F132" s="300">
        <v>100.0</v>
      </c>
      <c r="G132" s="299"/>
      <c r="H132" s="301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2"/>
      <c r="T132" s="302"/>
      <c r="U132" s="300"/>
      <c r="V132" s="300"/>
      <c r="W132" s="300"/>
      <c r="X132" s="300"/>
      <c r="Y132" s="300"/>
      <c r="Z132" s="300"/>
      <c r="AA132" s="300"/>
      <c r="AB132" s="300"/>
      <c r="AC132" s="300"/>
      <c r="AD132" s="300"/>
      <c r="AE132" s="300"/>
      <c r="AF132" s="300"/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300"/>
      <c r="AV132" s="300"/>
      <c r="AW132" s="300"/>
      <c r="AX132" s="303"/>
    </row>
    <row r="133" ht="15.75" customHeight="1">
      <c r="A133" s="305"/>
      <c r="B133" s="309"/>
      <c r="C133" s="307"/>
      <c r="D133" s="299"/>
      <c r="E133" s="300"/>
      <c r="F133" s="300">
        <v>100.0</v>
      </c>
      <c r="G133" s="299"/>
      <c r="H133" s="301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302"/>
      <c r="T133" s="302"/>
      <c r="U133" s="300"/>
      <c r="V133" s="300"/>
      <c r="W133" s="300"/>
      <c r="X133" s="300"/>
      <c r="Y133" s="300"/>
      <c r="Z133" s="300"/>
      <c r="AA133" s="300"/>
      <c r="AB133" s="300"/>
      <c r="AC133" s="300"/>
      <c r="AD133" s="300"/>
      <c r="AE133" s="300"/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300"/>
      <c r="AV133" s="300"/>
      <c r="AW133" s="300"/>
      <c r="AX133" s="303"/>
    </row>
    <row r="134" ht="15.75" customHeight="1">
      <c r="A134" s="305"/>
      <c r="B134" s="309"/>
      <c r="C134" s="307"/>
      <c r="D134" s="299"/>
      <c r="E134" s="300"/>
      <c r="F134" s="300">
        <v>100.0</v>
      </c>
      <c r="G134" s="299"/>
      <c r="H134" s="301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302"/>
      <c r="T134" s="302"/>
      <c r="U134" s="300"/>
      <c r="V134" s="300"/>
      <c r="W134" s="300"/>
      <c r="X134" s="300"/>
      <c r="Y134" s="300"/>
      <c r="Z134" s="300"/>
      <c r="AA134" s="300"/>
      <c r="AB134" s="300"/>
      <c r="AC134" s="300"/>
      <c r="AD134" s="300"/>
      <c r="AE134" s="300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300"/>
      <c r="AV134" s="300"/>
      <c r="AW134" s="300"/>
      <c r="AX134" s="303"/>
    </row>
    <row r="135" ht="15.75" customHeight="1">
      <c r="A135" s="305"/>
      <c r="B135" s="309"/>
      <c r="C135" s="307"/>
      <c r="D135" s="299"/>
      <c r="E135" s="300"/>
      <c r="F135" s="300">
        <v>100.0</v>
      </c>
      <c r="G135" s="299"/>
      <c r="H135" s="301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2"/>
      <c r="T135" s="302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0"/>
      <c r="AK135" s="300"/>
      <c r="AL135" s="300"/>
      <c r="AM135" s="300"/>
      <c r="AN135" s="300"/>
      <c r="AO135" s="300"/>
      <c r="AP135" s="300"/>
      <c r="AQ135" s="300"/>
      <c r="AR135" s="300"/>
      <c r="AS135" s="300"/>
      <c r="AT135" s="300"/>
      <c r="AU135" s="300"/>
      <c r="AV135" s="300"/>
      <c r="AW135" s="300"/>
      <c r="AX135" s="303"/>
    </row>
    <row r="136" ht="15.75" customHeight="1">
      <c r="A136" s="305"/>
      <c r="B136" s="309"/>
      <c r="C136" s="307"/>
      <c r="D136" s="299"/>
      <c r="E136" s="300"/>
      <c r="F136" s="300">
        <v>100.0</v>
      </c>
      <c r="G136" s="299"/>
      <c r="H136" s="301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302"/>
      <c r="T136" s="302"/>
      <c r="U136" s="300"/>
      <c r="V136" s="300"/>
      <c r="W136" s="300"/>
      <c r="X136" s="300"/>
      <c r="Y136" s="300"/>
      <c r="Z136" s="300"/>
      <c r="AA136" s="300"/>
      <c r="AB136" s="300"/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300"/>
      <c r="AV136" s="300"/>
      <c r="AW136" s="300"/>
      <c r="AX136" s="303"/>
    </row>
    <row r="137" ht="15.75" customHeight="1">
      <c r="A137" s="305"/>
      <c r="B137" s="309"/>
      <c r="C137" s="307"/>
      <c r="D137" s="299"/>
      <c r="E137" s="300"/>
      <c r="F137" s="300">
        <v>100.0</v>
      </c>
      <c r="G137" s="299"/>
      <c r="H137" s="301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302"/>
      <c r="T137" s="302"/>
      <c r="U137" s="300"/>
      <c r="V137" s="300"/>
      <c r="W137" s="300"/>
      <c r="X137" s="300"/>
      <c r="Y137" s="300"/>
      <c r="Z137" s="300"/>
      <c r="AA137" s="300"/>
      <c r="AB137" s="300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300"/>
      <c r="AV137" s="300"/>
      <c r="AW137" s="300"/>
      <c r="AX137" s="303"/>
    </row>
    <row r="138" ht="15.75" customHeight="1">
      <c r="A138" s="305"/>
      <c r="B138" s="309"/>
      <c r="C138" s="307"/>
      <c r="D138" s="299"/>
      <c r="E138" s="300"/>
      <c r="F138" s="300">
        <v>100.0</v>
      </c>
      <c r="G138" s="299"/>
      <c r="H138" s="301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302"/>
      <c r="T138" s="302"/>
      <c r="U138" s="300"/>
      <c r="V138" s="300"/>
      <c r="W138" s="300"/>
      <c r="X138" s="300"/>
      <c r="Y138" s="300"/>
      <c r="Z138" s="300"/>
      <c r="AA138" s="300"/>
      <c r="AB138" s="300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300"/>
      <c r="AV138" s="300"/>
      <c r="AW138" s="300"/>
      <c r="AX138" s="303"/>
    </row>
    <row r="139" ht="15.75" customHeight="1">
      <c r="A139" s="305"/>
      <c r="B139" s="309"/>
      <c r="C139" s="307"/>
      <c r="D139" s="299"/>
      <c r="E139" s="300"/>
      <c r="F139" s="300">
        <v>100.0</v>
      </c>
      <c r="G139" s="299"/>
      <c r="H139" s="301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2"/>
      <c r="T139" s="302"/>
      <c r="U139" s="300"/>
      <c r="V139" s="300"/>
      <c r="W139" s="300"/>
      <c r="X139" s="300"/>
      <c r="Y139" s="300"/>
      <c r="Z139" s="300"/>
      <c r="AA139" s="300"/>
      <c r="AB139" s="300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300"/>
      <c r="AV139" s="300"/>
      <c r="AW139" s="300"/>
      <c r="AX139" s="303"/>
    </row>
    <row r="140" ht="15.75" customHeight="1">
      <c r="A140" s="305"/>
      <c r="B140" s="309"/>
      <c r="C140" s="307"/>
      <c r="D140" s="299"/>
      <c r="E140" s="300"/>
      <c r="F140" s="300">
        <v>100.0</v>
      </c>
      <c r="G140" s="299"/>
      <c r="H140" s="301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302"/>
      <c r="T140" s="302"/>
      <c r="U140" s="300"/>
      <c r="V140" s="300"/>
      <c r="W140" s="300"/>
      <c r="X140" s="300"/>
      <c r="Y140" s="300"/>
      <c r="Z140" s="300"/>
      <c r="AA140" s="300"/>
      <c r="AB140" s="300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300"/>
      <c r="AV140" s="300"/>
      <c r="AW140" s="300"/>
      <c r="AX140" s="303"/>
    </row>
    <row r="141" ht="15.75" customHeight="1">
      <c r="A141" s="305"/>
      <c r="B141" s="309"/>
      <c r="C141" s="307"/>
      <c r="D141" s="299"/>
      <c r="E141" s="300"/>
      <c r="F141" s="300">
        <v>100.0</v>
      </c>
      <c r="G141" s="299"/>
      <c r="H141" s="301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302"/>
      <c r="T141" s="302"/>
      <c r="U141" s="300"/>
      <c r="V141" s="300"/>
      <c r="W141" s="300"/>
      <c r="X141" s="300"/>
      <c r="Y141" s="300"/>
      <c r="Z141" s="300"/>
      <c r="AA141" s="300"/>
      <c r="AB141" s="300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300"/>
      <c r="AV141" s="300"/>
      <c r="AW141" s="300"/>
      <c r="AX141" s="303"/>
    </row>
    <row r="142" ht="15.75" customHeight="1">
      <c r="A142" s="305"/>
      <c r="B142" s="309"/>
      <c r="C142" s="307"/>
      <c r="D142" s="299"/>
      <c r="E142" s="300"/>
      <c r="F142" s="300">
        <v>100.0</v>
      </c>
      <c r="G142" s="299"/>
      <c r="H142" s="301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302"/>
      <c r="T142" s="302"/>
      <c r="U142" s="300"/>
      <c r="V142" s="300"/>
      <c r="W142" s="300"/>
      <c r="X142" s="300"/>
      <c r="Y142" s="300"/>
      <c r="Z142" s="300"/>
      <c r="AA142" s="300"/>
      <c r="AB142" s="300"/>
      <c r="AC142" s="300"/>
      <c r="AD142" s="300"/>
      <c r="AE142" s="300"/>
      <c r="AF142" s="300"/>
      <c r="AG142" s="300"/>
      <c r="AH142" s="300"/>
      <c r="AI142" s="300"/>
      <c r="AJ142" s="300"/>
      <c r="AK142" s="300"/>
      <c r="AL142" s="300"/>
      <c r="AM142" s="300"/>
      <c r="AN142" s="300"/>
      <c r="AO142" s="300"/>
      <c r="AP142" s="300"/>
      <c r="AQ142" s="300"/>
      <c r="AR142" s="300"/>
      <c r="AS142" s="300"/>
      <c r="AT142" s="300"/>
      <c r="AU142" s="300"/>
      <c r="AV142" s="300"/>
      <c r="AW142" s="300"/>
      <c r="AX142" s="303"/>
    </row>
    <row r="143" ht="15.75" customHeight="1">
      <c r="A143" s="305"/>
      <c r="B143" s="309"/>
      <c r="C143" s="307"/>
      <c r="D143" s="299"/>
      <c r="E143" s="300"/>
      <c r="F143" s="300">
        <v>100.0</v>
      </c>
      <c r="G143" s="299"/>
      <c r="H143" s="301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302"/>
      <c r="T143" s="302"/>
      <c r="U143" s="300"/>
      <c r="V143" s="300"/>
      <c r="W143" s="300"/>
      <c r="X143" s="300"/>
      <c r="Y143" s="300"/>
      <c r="Z143" s="300"/>
      <c r="AA143" s="300"/>
      <c r="AB143" s="300"/>
      <c r="AC143" s="300"/>
      <c r="AD143" s="300"/>
      <c r="AE143" s="300"/>
      <c r="AF143" s="300"/>
      <c r="AG143" s="300"/>
      <c r="AH143" s="300"/>
      <c r="AI143" s="300"/>
      <c r="AJ143" s="300"/>
      <c r="AK143" s="300"/>
      <c r="AL143" s="300"/>
      <c r="AM143" s="300"/>
      <c r="AN143" s="300"/>
      <c r="AO143" s="300"/>
      <c r="AP143" s="300"/>
      <c r="AQ143" s="300"/>
      <c r="AR143" s="300"/>
      <c r="AS143" s="300"/>
      <c r="AT143" s="300"/>
      <c r="AU143" s="300"/>
      <c r="AV143" s="300"/>
      <c r="AW143" s="300"/>
      <c r="AX143" s="303"/>
    </row>
    <row r="144" ht="15.75" customHeight="1">
      <c r="A144" s="305"/>
      <c r="B144" s="309"/>
      <c r="C144" s="307"/>
      <c r="D144" s="299"/>
      <c r="E144" s="300"/>
      <c r="F144" s="300">
        <v>100.0</v>
      </c>
      <c r="G144" s="299"/>
      <c r="H144" s="301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302"/>
      <c r="T144" s="302"/>
      <c r="U144" s="300"/>
      <c r="V144" s="300"/>
      <c r="W144" s="300"/>
      <c r="X144" s="300"/>
      <c r="Y144" s="300"/>
      <c r="Z144" s="300"/>
      <c r="AA144" s="300"/>
      <c r="AB144" s="300"/>
      <c r="AC144" s="300"/>
      <c r="AD144" s="300"/>
      <c r="AE144" s="300"/>
      <c r="AF144" s="300"/>
      <c r="AG144" s="300"/>
      <c r="AH144" s="300"/>
      <c r="AI144" s="300"/>
      <c r="AJ144" s="300"/>
      <c r="AK144" s="300"/>
      <c r="AL144" s="300"/>
      <c r="AM144" s="300"/>
      <c r="AN144" s="300"/>
      <c r="AO144" s="300"/>
      <c r="AP144" s="300"/>
      <c r="AQ144" s="300"/>
      <c r="AR144" s="300"/>
      <c r="AS144" s="300"/>
      <c r="AT144" s="300"/>
      <c r="AU144" s="300"/>
      <c r="AV144" s="300"/>
      <c r="AW144" s="300"/>
      <c r="AX144" s="303"/>
    </row>
    <row r="145" ht="15.75" customHeight="1">
      <c r="A145" s="305"/>
      <c r="B145" s="309"/>
      <c r="C145" s="307"/>
      <c r="D145" s="299"/>
      <c r="E145" s="300"/>
      <c r="F145" s="300">
        <v>100.0</v>
      </c>
      <c r="G145" s="299"/>
      <c r="H145" s="301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302"/>
      <c r="T145" s="302"/>
      <c r="U145" s="300"/>
      <c r="V145" s="300"/>
      <c r="W145" s="300"/>
      <c r="X145" s="300"/>
      <c r="Y145" s="300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0"/>
      <c r="AN145" s="300"/>
      <c r="AO145" s="300"/>
      <c r="AP145" s="300"/>
      <c r="AQ145" s="300"/>
      <c r="AR145" s="300"/>
      <c r="AS145" s="300"/>
      <c r="AT145" s="300"/>
      <c r="AU145" s="300"/>
      <c r="AV145" s="300"/>
      <c r="AW145" s="300"/>
      <c r="AX145" s="303"/>
    </row>
    <row r="146" ht="15.75" customHeight="1">
      <c r="A146" s="305"/>
      <c r="B146" s="309"/>
      <c r="C146" s="307"/>
      <c r="D146" s="299"/>
      <c r="E146" s="300"/>
      <c r="F146" s="300">
        <v>100.0</v>
      </c>
      <c r="G146" s="299"/>
      <c r="H146" s="301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302"/>
      <c r="T146" s="302"/>
      <c r="U146" s="300"/>
      <c r="V146" s="300"/>
      <c r="W146" s="300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  <c r="AH146" s="300"/>
      <c r="AI146" s="300"/>
      <c r="AJ146" s="300"/>
      <c r="AK146" s="300"/>
      <c r="AL146" s="300"/>
      <c r="AM146" s="300"/>
      <c r="AN146" s="300"/>
      <c r="AO146" s="300"/>
      <c r="AP146" s="300"/>
      <c r="AQ146" s="300"/>
      <c r="AR146" s="300"/>
      <c r="AS146" s="300"/>
      <c r="AT146" s="300"/>
      <c r="AU146" s="300"/>
      <c r="AV146" s="300"/>
      <c r="AW146" s="300"/>
      <c r="AX146" s="303"/>
    </row>
    <row r="147" ht="15.75" customHeight="1">
      <c r="A147" s="305"/>
      <c r="B147" s="309"/>
      <c r="C147" s="307"/>
      <c r="D147" s="299"/>
      <c r="E147" s="300"/>
      <c r="F147" s="300">
        <v>100.0</v>
      </c>
      <c r="G147" s="299"/>
      <c r="H147" s="301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2"/>
      <c r="T147" s="302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  <c r="AH147" s="300"/>
      <c r="AI147" s="300"/>
      <c r="AJ147" s="300"/>
      <c r="AK147" s="300"/>
      <c r="AL147" s="300"/>
      <c r="AM147" s="300"/>
      <c r="AN147" s="300"/>
      <c r="AO147" s="300"/>
      <c r="AP147" s="300"/>
      <c r="AQ147" s="300"/>
      <c r="AR147" s="300"/>
      <c r="AS147" s="300"/>
      <c r="AT147" s="300"/>
      <c r="AU147" s="300"/>
      <c r="AV147" s="300"/>
      <c r="AW147" s="300"/>
      <c r="AX147" s="303"/>
    </row>
    <row r="148" ht="15.75" customHeight="1">
      <c r="A148" s="305"/>
      <c r="B148" s="309"/>
      <c r="C148" s="307"/>
      <c r="D148" s="299"/>
      <c r="E148" s="300"/>
      <c r="F148" s="300">
        <v>100.0</v>
      </c>
      <c r="G148" s="299"/>
      <c r="H148" s="301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302"/>
      <c r="T148" s="302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/>
      <c r="AR148" s="300"/>
      <c r="AS148" s="300"/>
      <c r="AT148" s="300"/>
      <c r="AU148" s="300"/>
      <c r="AV148" s="300"/>
      <c r="AW148" s="300"/>
      <c r="AX148" s="303"/>
    </row>
    <row r="149" ht="15.75" customHeight="1">
      <c r="A149" s="305"/>
      <c r="B149" s="309"/>
      <c r="C149" s="307"/>
      <c r="D149" s="299"/>
      <c r="E149" s="300"/>
      <c r="F149" s="300">
        <v>100.0</v>
      </c>
      <c r="G149" s="299"/>
      <c r="H149" s="301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302"/>
      <c r="T149" s="302"/>
      <c r="U149" s="300"/>
      <c r="V149" s="300"/>
      <c r="W149" s="300"/>
      <c r="X149" s="300"/>
      <c r="Y149" s="300"/>
      <c r="Z149" s="300"/>
      <c r="AA149" s="300"/>
      <c r="AB149" s="300"/>
      <c r="AC149" s="300"/>
      <c r="AD149" s="300"/>
      <c r="AE149" s="300"/>
      <c r="AF149" s="300"/>
      <c r="AG149" s="300"/>
      <c r="AH149" s="300"/>
      <c r="AI149" s="300"/>
      <c r="AJ149" s="300"/>
      <c r="AK149" s="300"/>
      <c r="AL149" s="300"/>
      <c r="AM149" s="300"/>
      <c r="AN149" s="300"/>
      <c r="AO149" s="300"/>
      <c r="AP149" s="300"/>
      <c r="AQ149" s="300"/>
      <c r="AR149" s="300"/>
      <c r="AS149" s="300"/>
      <c r="AT149" s="300"/>
      <c r="AU149" s="300"/>
      <c r="AV149" s="300"/>
      <c r="AW149" s="300"/>
      <c r="AX149" s="303"/>
    </row>
    <row r="150" ht="15.75" customHeight="1">
      <c r="A150" s="305"/>
      <c r="B150" s="309"/>
      <c r="C150" s="307"/>
      <c r="D150" s="299"/>
      <c r="E150" s="300"/>
      <c r="F150" s="300">
        <v>100.0</v>
      </c>
      <c r="G150" s="299"/>
      <c r="H150" s="301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302"/>
      <c r="T150" s="302"/>
      <c r="U150" s="300"/>
      <c r="V150" s="300"/>
      <c r="W150" s="300"/>
      <c r="X150" s="300"/>
      <c r="Y150" s="300"/>
      <c r="Z150" s="300"/>
      <c r="AA150" s="300"/>
      <c r="AB150" s="300"/>
      <c r="AC150" s="300"/>
      <c r="AD150" s="300"/>
      <c r="AE150" s="300"/>
      <c r="AF150" s="300"/>
      <c r="AG150" s="300"/>
      <c r="AH150" s="300"/>
      <c r="AI150" s="300"/>
      <c r="AJ150" s="300"/>
      <c r="AK150" s="300"/>
      <c r="AL150" s="300"/>
      <c r="AM150" s="300"/>
      <c r="AN150" s="300"/>
      <c r="AO150" s="300"/>
      <c r="AP150" s="300"/>
      <c r="AQ150" s="300"/>
      <c r="AR150" s="300"/>
      <c r="AS150" s="300"/>
      <c r="AT150" s="300"/>
      <c r="AU150" s="300"/>
      <c r="AV150" s="300"/>
      <c r="AW150" s="300"/>
      <c r="AX150" s="303"/>
    </row>
    <row r="151" ht="15.75" customHeight="1">
      <c r="A151" s="305"/>
      <c r="B151" s="309"/>
      <c r="C151" s="307"/>
      <c r="D151" s="299"/>
      <c r="E151" s="300"/>
      <c r="F151" s="300">
        <v>100.0</v>
      </c>
      <c r="G151" s="299"/>
      <c r="H151" s="301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2"/>
      <c r="T151" s="302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3"/>
    </row>
    <row r="152" ht="15.75" customHeight="1">
      <c r="A152" s="305"/>
      <c r="B152" s="309"/>
      <c r="C152" s="307"/>
      <c r="D152" s="299"/>
      <c r="E152" s="300"/>
      <c r="F152" s="300">
        <v>100.0</v>
      </c>
      <c r="G152" s="299"/>
      <c r="H152" s="301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2"/>
      <c r="T152" s="302"/>
      <c r="U152" s="300"/>
      <c r="V152" s="300"/>
      <c r="W152" s="300"/>
      <c r="X152" s="300"/>
      <c r="Y152" s="300"/>
      <c r="Z152" s="300"/>
      <c r="AA152" s="300"/>
      <c r="AB152" s="300"/>
      <c r="AC152" s="300"/>
      <c r="AD152" s="300"/>
      <c r="AE152" s="300"/>
      <c r="AF152" s="300"/>
      <c r="AG152" s="300"/>
      <c r="AH152" s="300"/>
      <c r="AI152" s="300"/>
      <c r="AJ152" s="300"/>
      <c r="AK152" s="300"/>
      <c r="AL152" s="300"/>
      <c r="AM152" s="300"/>
      <c r="AN152" s="300"/>
      <c r="AO152" s="300"/>
      <c r="AP152" s="300"/>
      <c r="AQ152" s="300"/>
      <c r="AR152" s="300"/>
      <c r="AS152" s="300"/>
      <c r="AT152" s="300"/>
      <c r="AU152" s="300"/>
      <c r="AV152" s="300"/>
      <c r="AW152" s="300"/>
      <c r="AX152" s="303"/>
    </row>
    <row r="153" ht="15.75" customHeight="1">
      <c r="A153" s="305"/>
      <c r="B153" s="309"/>
      <c r="C153" s="307"/>
      <c r="D153" s="299"/>
      <c r="E153" s="300"/>
      <c r="F153" s="300">
        <v>100.0</v>
      </c>
      <c r="G153" s="299"/>
      <c r="H153" s="301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302"/>
      <c r="T153" s="302"/>
      <c r="U153" s="300"/>
      <c r="V153" s="300"/>
      <c r="W153" s="300"/>
      <c r="X153" s="300"/>
      <c r="Y153" s="300"/>
      <c r="Z153" s="300"/>
      <c r="AA153" s="300"/>
      <c r="AB153" s="300"/>
      <c r="AC153" s="300"/>
      <c r="AD153" s="300"/>
      <c r="AE153" s="300"/>
      <c r="AF153" s="300"/>
      <c r="AG153" s="300"/>
      <c r="AH153" s="300"/>
      <c r="AI153" s="300"/>
      <c r="AJ153" s="300"/>
      <c r="AK153" s="300"/>
      <c r="AL153" s="300"/>
      <c r="AM153" s="300"/>
      <c r="AN153" s="300"/>
      <c r="AO153" s="300"/>
      <c r="AP153" s="300"/>
      <c r="AQ153" s="300"/>
      <c r="AR153" s="300"/>
      <c r="AS153" s="300"/>
      <c r="AT153" s="300"/>
      <c r="AU153" s="300"/>
      <c r="AV153" s="300"/>
      <c r="AW153" s="300"/>
      <c r="AX153" s="303"/>
    </row>
    <row r="154" ht="15.75" customHeight="1">
      <c r="A154" s="305"/>
      <c r="B154" s="309"/>
      <c r="C154" s="307"/>
      <c r="D154" s="299"/>
      <c r="E154" s="300"/>
      <c r="F154" s="300">
        <v>100.0</v>
      </c>
      <c r="G154" s="299"/>
      <c r="H154" s="301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302"/>
      <c r="T154" s="302"/>
      <c r="U154" s="300"/>
      <c r="V154" s="300"/>
      <c r="W154" s="300"/>
      <c r="X154" s="300"/>
      <c r="Y154" s="300"/>
      <c r="Z154" s="300"/>
      <c r="AA154" s="300"/>
      <c r="AB154" s="300"/>
      <c r="AC154" s="300"/>
      <c r="AD154" s="300"/>
      <c r="AE154" s="300"/>
      <c r="AF154" s="300"/>
      <c r="AG154" s="300"/>
      <c r="AH154" s="300"/>
      <c r="AI154" s="300"/>
      <c r="AJ154" s="300"/>
      <c r="AK154" s="300"/>
      <c r="AL154" s="300"/>
      <c r="AM154" s="300"/>
      <c r="AN154" s="300"/>
      <c r="AO154" s="300"/>
      <c r="AP154" s="300"/>
      <c r="AQ154" s="300"/>
      <c r="AR154" s="300"/>
      <c r="AS154" s="300"/>
      <c r="AT154" s="300"/>
      <c r="AU154" s="300"/>
      <c r="AV154" s="300"/>
      <c r="AW154" s="300"/>
      <c r="AX154" s="303"/>
    </row>
    <row r="155" ht="15.75" customHeight="1">
      <c r="A155" s="310"/>
      <c r="B155" s="311"/>
      <c r="C155" s="312"/>
      <c r="D155" s="313"/>
      <c r="E155" s="314"/>
      <c r="F155" s="300">
        <v>100.0</v>
      </c>
      <c r="G155" s="313"/>
      <c r="H155" s="315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6"/>
      <c r="T155" s="316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  <c r="AE155" s="314"/>
      <c r="AF155" s="314"/>
      <c r="AG155" s="314"/>
      <c r="AH155" s="314"/>
      <c r="AI155" s="314"/>
      <c r="AJ155" s="314"/>
      <c r="AK155" s="314"/>
      <c r="AL155" s="314"/>
      <c r="AM155" s="314"/>
      <c r="AN155" s="314"/>
      <c r="AO155" s="314"/>
      <c r="AP155" s="314"/>
      <c r="AQ155" s="314"/>
      <c r="AR155" s="314"/>
      <c r="AS155" s="314"/>
      <c r="AT155" s="314"/>
      <c r="AU155" s="314"/>
      <c r="AV155" s="314"/>
      <c r="AW155" s="314"/>
      <c r="AX155" s="317"/>
    </row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location="/food-details/173371/nutrients" ref="C8"/>
    <hyperlink r:id="rId2" location="/food-details/168230/nutrients" ref="C9"/>
    <hyperlink r:id="rId3" location="/food-details/173627/nutrients" ref="C10"/>
    <hyperlink r:id="rId4" location="/food-details/172486/nutrients" ref="C11"/>
    <hyperlink r:id="rId5" location="/food-details/173855/nutrients" ref="C12"/>
    <hyperlink r:id="rId6" location="/food-details/168625/nutrients" ref="C13"/>
    <hyperlink r:id="rId7" location="/food-details/168267/nutrients" ref="C14"/>
    <hyperlink r:id="rId8" location="/food-details/171458/nutrients" ref="C15"/>
    <hyperlink r:id="rId9" location="/food-details/172527/nutrients" ref="C16"/>
    <hyperlink r:id="rId10" location="/food-details/169451/nutrients" ref="C17"/>
    <hyperlink r:id="rId11" location="/food-details/169449/nutrients" ref="C18"/>
    <hyperlink r:id="rId12" location="/food-details/167862/nutrients" ref="C19"/>
    <hyperlink r:id="rId13" location="/food-details/168270/nutrients" ref="C20"/>
    <hyperlink r:id="rId14" location="/food-details/171060/nutrients" ref="C21"/>
    <hyperlink r:id="rId15" location="/food-details/172531/nutrients" ref="C22"/>
    <hyperlink r:id="rId16" location="/food-details/174354/nutrients" ref="C23"/>
    <hyperlink r:id="rId17" location="/food-details/175138/nutrients" ref="C24"/>
    <hyperlink r:id="rId18" location="/food-details/175175/nutrients" ref="C25"/>
    <hyperlink r:id="rId19" location="/food-details/175119/nutrients" ref="C26"/>
    <hyperlink r:id="rId20" location="/food-details/175121/nutrients" ref="C27"/>
    <hyperlink r:id="rId21" ref="C28"/>
    <hyperlink r:id="rId22" location="/food-details/175139/nutrients" ref="C29"/>
    <hyperlink r:id="rId23" location="/food-details/171287/nutrients" ref="C30"/>
    <hyperlink r:id="rId24" location="/food-details/172191/nutrients" ref="C31"/>
    <hyperlink r:id="rId25" location="/food-details/172189/nutrients" ref="C32"/>
    <hyperlink r:id="rId26" location="/food-details/171981/nutrients" ref="C33"/>
    <hyperlink r:id="rId27" location="/food-details/174217/nutrients" ref="C34"/>
    <hyperlink r:id="rId28" location="/food-details/169146/nutrients" ref="C35"/>
    <hyperlink r:id="rId29" location="/food-details/169977/nutrients" ref="C36"/>
    <hyperlink r:id="rId30" location="/food-details/170379/nutrients" ref="C37"/>
    <hyperlink r:id="rId31" location="/food-details/169961/nutrients" ref="C38"/>
    <hyperlink r:id="rId32" location="/food-details/169296/nutrients" ref="C39"/>
    <hyperlink r:id="rId33" location="/food-details/170394/nutrients" ref="C40"/>
    <hyperlink r:id="rId34" location="/food-details/172889/nutrients" ref="C41"/>
    <hyperlink r:id="rId35" location="/food-details/170174/nutrients" ref="C42"/>
    <hyperlink r:id="rId36" ref="C44"/>
    <hyperlink r:id="rId37" ref="C45"/>
    <hyperlink r:id="rId38" ref="C46"/>
    <hyperlink r:id="rId39" ref="C47"/>
    <hyperlink r:id="rId40" ref="C48"/>
    <hyperlink r:id="rId41" location="/food-details/172179/nutrients" ref="C49"/>
    <hyperlink r:id="rId42" location="/food-details/170904/nutrients" ref="C50"/>
    <hyperlink r:id="rId43" location="/food-details/171304/nutrients" ref="C51"/>
    <hyperlink r:id="rId44" location="/food-details/173944/nutrients" ref="C52"/>
    <hyperlink r:id="rId45" location="/food-details/171711/nutrients" ref="C53"/>
  </hyperlinks>
  <printOptions/>
  <pageMargins bottom="0.75" footer="0.0" header="0.0" left="0.7" right="0.7" top="0.75"/>
  <pageSetup orientation="landscape"/>
  <drawing r:id="rId46"/>
  <tableParts count="1">
    <tablePart r:id="rId4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3" width="36.14"/>
    <col customWidth="1" min="4" max="6" width="14.43"/>
  </cols>
  <sheetData>
    <row r="1" ht="15.75" customHeight="1">
      <c r="A1" s="318" t="s">
        <v>249</v>
      </c>
      <c r="B1" s="319" t="s">
        <v>170</v>
      </c>
      <c r="C1" s="320" t="s">
        <v>268</v>
      </c>
    </row>
    <row r="2" ht="15.75" customHeight="1">
      <c r="A2" s="321" t="s">
        <v>269</v>
      </c>
      <c r="B2" s="322" t="s">
        <v>270</v>
      </c>
      <c r="C2" s="323" t="str">
        <f>'Shopping List'!B25</f>
        <v/>
      </c>
    </row>
    <row r="3" ht="15.75" customHeight="1">
      <c r="A3" s="324" t="str">
        <f>'Data Sheet'!A44</f>
        <v>Chicken or Duck Feet</v>
      </c>
      <c r="B3" s="325" t="str">
        <f>'Data Sheet'!A8</f>
        <v>Beef Round, lean</v>
      </c>
      <c r="C3" s="326" t="b">
        <f>IF( 'Shopping List'!B25="Raw Meaty Bone",INDIRECT(A2),IF( 'Shopping List'!B25="Muscle Meat",INDIRECT(B2)))</f>
        <v>0</v>
      </c>
    </row>
    <row r="4" ht="15.75" customHeight="1">
      <c r="A4" s="305" t="str">
        <f>'Data Sheet'!A45</f>
        <v>Chicken Neck, skinless</v>
      </c>
      <c r="B4" s="327" t="str">
        <f>'Data Sheet'!A9</f>
        <v>Pork Loin, lean</v>
      </c>
      <c r="C4" s="326"/>
    </row>
    <row r="5" ht="15.75" customHeight="1">
      <c r="A5" s="305" t="str">
        <f>'Data Sheet'!A46</f>
        <v>Chicken or Duck Wing</v>
      </c>
      <c r="B5" s="327" t="str">
        <f>'Data Sheet'!A10</f>
        <v>Chicken Thigh, boneless, skinless</v>
      </c>
      <c r="C5" s="326"/>
    </row>
    <row r="6" ht="15.75" customHeight="1">
      <c r="A6" s="305" t="str">
        <f>'Data Sheet'!A47</f>
        <v>Duck or Turkey Neck, skinless</v>
      </c>
      <c r="B6" s="327" t="str">
        <f>'Data Sheet'!A11</f>
        <v>Lamb Leg, boneless, lean</v>
      </c>
      <c r="C6" s="326"/>
    </row>
    <row r="7" ht="15.75" customHeight="1">
      <c r="A7" s="305" t="str">
        <f>'Data Sheet'!A48</f>
        <v>Rabbit, skinless, no organs</v>
      </c>
      <c r="B7" s="327" t="str">
        <f>'Data Sheet'!A12</f>
        <v>Venison, lean</v>
      </c>
      <c r="C7" s="326"/>
    </row>
    <row r="8" ht="15.75" customHeight="1">
      <c r="A8" s="305"/>
      <c r="B8" s="327"/>
      <c r="C8" s="326"/>
    </row>
    <row r="9" ht="15.75" customHeight="1">
      <c r="A9" s="305"/>
      <c r="B9" s="327"/>
      <c r="C9" s="326"/>
    </row>
    <row r="10" ht="15.75" customHeight="1">
      <c r="A10" s="305"/>
      <c r="B10" s="327"/>
      <c r="C10" s="326"/>
    </row>
    <row r="11" ht="15.75" customHeight="1">
      <c r="A11" s="305"/>
      <c r="B11" s="327"/>
      <c r="C11" s="326"/>
    </row>
    <row r="12" ht="15.75" customHeight="1">
      <c r="A12" s="305"/>
      <c r="B12" s="327"/>
      <c r="C12" s="326"/>
    </row>
    <row r="13" ht="15.75" customHeight="1">
      <c r="A13" s="305"/>
      <c r="B13" s="327"/>
      <c r="C13" s="326"/>
    </row>
    <row r="14" ht="15.75" customHeight="1">
      <c r="A14" s="305"/>
      <c r="B14" s="327"/>
      <c r="C14" s="326"/>
    </row>
    <row r="15" ht="15.75" customHeight="1">
      <c r="A15" s="305"/>
      <c r="B15" s="327"/>
      <c r="C15" s="326"/>
    </row>
    <row r="16" ht="15.75" customHeight="1">
      <c r="A16" s="305"/>
      <c r="B16" s="327"/>
      <c r="C16" s="326"/>
    </row>
    <row r="17" ht="15.75" customHeight="1">
      <c r="A17" s="305"/>
      <c r="B17" s="327"/>
      <c r="C17" s="326"/>
    </row>
    <row r="18" ht="15.75" customHeight="1">
      <c r="A18" s="305"/>
      <c r="B18" s="327"/>
      <c r="C18" s="326"/>
    </row>
    <row r="19" ht="15.75" customHeight="1">
      <c r="A19" s="305"/>
      <c r="B19" s="327"/>
      <c r="C19" s="326"/>
    </row>
    <row r="20" ht="15.75" customHeight="1">
      <c r="A20" s="305"/>
      <c r="B20" s="327"/>
      <c r="C20" s="326"/>
    </row>
    <row r="21" ht="15.75" customHeight="1">
      <c r="A21" s="305"/>
      <c r="B21" s="327"/>
      <c r="C21" s="326"/>
    </row>
    <row r="22" ht="15.75" customHeight="1">
      <c r="A22" s="305"/>
      <c r="B22" s="327"/>
      <c r="C22" s="326"/>
    </row>
    <row r="23" ht="15.75" customHeight="1">
      <c r="A23" s="305"/>
      <c r="B23" s="327"/>
      <c r="C23" s="326"/>
    </row>
    <row r="24" ht="15.75" customHeight="1">
      <c r="A24" s="305"/>
      <c r="B24" s="327"/>
      <c r="C24" s="326"/>
    </row>
    <row r="25" ht="15.75" customHeight="1">
      <c r="A25" s="305"/>
      <c r="B25" s="327"/>
      <c r="C25" s="326"/>
    </row>
    <row r="26" ht="15.75" customHeight="1">
      <c r="A26" s="305"/>
      <c r="B26" s="327"/>
      <c r="C26" s="326"/>
    </row>
    <row r="27" ht="15.75" customHeight="1">
      <c r="A27" s="305"/>
      <c r="B27" s="327"/>
      <c r="C27" s="326"/>
    </row>
    <row r="28" ht="15.75" customHeight="1">
      <c r="A28" s="305"/>
      <c r="B28" s="327"/>
      <c r="C28" s="326"/>
    </row>
    <row r="29" ht="15.75" customHeight="1">
      <c r="A29" s="305"/>
      <c r="B29" s="327"/>
      <c r="C29" s="326"/>
    </row>
    <row r="30" ht="15.75" customHeight="1">
      <c r="A30" s="305"/>
      <c r="B30" s="327"/>
      <c r="C30" s="326"/>
    </row>
    <row r="31" ht="15.75" customHeight="1">
      <c r="A31" s="305"/>
      <c r="B31" s="327"/>
      <c r="C31" s="326"/>
    </row>
    <row r="32" ht="15.75" customHeight="1">
      <c r="A32" s="305"/>
      <c r="B32" s="327"/>
      <c r="C32" s="326"/>
    </row>
    <row r="33" ht="15.75" customHeight="1">
      <c r="A33" s="305"/>
      <c r="B33" s="327"/>
      <c r="C33" s="326"/>
    </row>
    <row r="34" ht="15.75" customHeight="1">
      <c r="A34" s="305"/>
      <c r="B34" s="327"/>
      <c r="C34" s="326"/>
    </row>
    <row r="35" ht="15.75" customHeight="1">
      <c r="A35" s="305"/>
      <c r="B35" s="327"/>
      <c r="C35" s="326"/>
    </row>
    <row r="36" ht="15.75" customHeight="1">
      <c r="A36" s="305"/>
      <c r="B36" s="327"/>
      <c r="C36" s="326"/>
    </row>
    <row r="37" ht="15.75" customHeight="1">
      <c r="A37" s="305"/>
      <c r="B37" s="327"/>
      <c r="C37" s="326"/>
    </row>
    <row r="38" ht="15.75" customHeight="1">
      <c r="A38" s="305"/>
      <c r="B38" s="327"/>
      <c r="C38" s="326"/>
    </row>
    <row r="39" ht="15.75" customHeight="1">
      <c r="A39" s="305"/>
      <c r="B39" s="327"/>
      <c r="C39" s="326"/>
    </row>
    <row r="40" ht="15.75" customHeight="1">
      <c r="A40" s="305"/>
      <c r="B40" s="327"/>
      <c r="C40" s="326"/>
    </row>
    <row r="41" ht="15.75" customHeight="1">
      <c r="A41" s="305"/>
      <c r="B41" s="327"/>
      <c r="C41" s="326"/>
    </row>
    <row r="42" ht="15.75" customHeight="1">
      <c r="A42" s="305"/>
      <c r="B42" s="327"/>
      <c r="C42" s="326"/>
    </row>
    <row r="43" ht="15.75" customHeight="1">
      <c r="A43" s="305"/>
      <c r="B43" s="327"/>
      <c r="C43" s="326"/>
    </row>
    <row r="44" ht="15.75" customHeight="1">
      <c r="A44" s="305"/>
      <c r="B44" s="327"/>
      <c r="C44" s="326"/>
    </row>
    <row r="45" ht="15.75" customHeight="1">
      <c r="A45" s="305"/>
      <c r="B45" s="327"/>
      <c r="C45" s="326"/>
    </row>
    <row r="46" ht="15.75" customHeight="1">
      <c r="A46" s="305"/>
      <c r="B46" s="327"/>
      <c r="C46" s="326"/>
    </row>
    <row r="47" ht="15.75" customHeight="1">
      <c r="A47" s="305"/>
      <c r="B47" s="327"/>
      <c r="C47" s="326"/>
    </row>
    <row r="48" ht="15.75" customHeight="1">
      <c r="A48" s="305"/>
      <c r="B48" s="327"/>
      <c r="C48" s="326"/>
    </row>
    <row r="49" ht="15.75" customHeight="1">
      <c r="A49" s="305"/>
      <c r="B49" s="327"/>
      <c r="C49" s="326"/>
    </row>
    <row r="50" ht="15.75" customHeight="1">
      <c r="A50" s="305"/>
      <c r="B50" s="327"/>
      <c r="C50" s="326"/>
    </row>
    <row r="51" ht="15.75" customHeight="1">
      <c r="A51" s="305"/>
      <c r="B51" s="327"/>
      <c r="C51" s="326"/>
    </row>
    <row r="52" ht="15.75" customHeight="1">
      <c r="A52" s="305"/>
      <c r="B52" s="327"/>
      <c r="C52" s="326"/>
    </row>
    <row r="53" ht="15.75" customHeight="1">
      <c r="A53" s="305"/>
      <c r="B53" s="327"/>
      <c r="C53" s="326"/>
    </row>
    <row r="54" ht="15.75" customHeight="1">
      <c r="A54" s="305"/>
      <c r="B54" s="327"/>
      <c r="C54" s="326"/>
    </row>
    <row r="55" ht="15.75" customHeight="1">
      <c r="A55" s="305"/>
      <c r="B55" s="327"/>
      <c r="C55" s="326"/>
    </row>
    <row r="56" ht="15.75" customHeight="1">
      <c r="A56" s="305"/>
      <c r="B56" s="327"/>
      <c r="C56" s="326"/>
    </row>
    <row r="57" ht="15.75" customHeight="1">
      <c r="A57" s="305"/>
      <c r="B57" s="327"/>
      <c r="C57" s="326"/>
    </row>
    <row r="58" ht="15.75" customHeight="1">
      <c r="A58" s="305"/>
      <c r="B58" s="327"/>
      <c r="C58" s="326"/>
    </row>
    <row r="59" ht="15.75" customHeight="1">
      <c r="A59" s="305"/>
      <c r="B59" s="327"/>
      <c r="C59" s="326"/>
    </row>
    <row r="60" ht="15.75" customHeight="1">
      <c r="A60" s="305"/>
      <c r="B60" s="327"/>
      <c r="C60" s="326"/>
    </row>
    <row r="61" ht="15.75" customHeight="1">
      <c r="A61" s="305"/>
      <c r="B61" s="327"/>
      <c r="C61" s="326"/>
    </row>
    <row r="62" ht="15.75" customHeight="1">
      <c r="A62" s="305"/>
      <c r="B62" s="327"/>
      <c r="C62" s="326"/>
    </row>
    <row r="63" ht="15.75" customHeight="1">
      <c r="A63" s="305"/>
      <c r="B63" s="327"/>
      <c r="C63" s="326"/>
    </row>
    <row r="64" ht="15.75" customHeight="1">
      <c r="A64" s="305"/>
      <c r="B64" s="327"/>
      <c r="C64" s="326"/>
    </row>
    <row r="65" ht="15.75" customHeight="1">
      <c r="A65" s="305"/>
      <c r="B65" s="327"/>
      <c r="C65" s="326"/>
    </row>
    <row r="66" ht="15.75" customHeight="1">
      <c r="A66" s="305"/>
      <c r="B66" s="327"/>
      <c r="C66" s="326"/>
    </row>
    <row r="67" ht="15.75" customHeight="1">
      <c r="A67" s="305"/>
      <c r="B67" s="327"/>
      <c r="C67" s="326"/>
    </row>
    <row r="68" ht="15.75" customHeight="1">
      <c r="A68" s="305"/>
      <c r="B68" s="327"/>
      <c r="C68" s="326"/>
    </row>
    <row r="69" ht="15.75" customHeight="1">
      <c r="A69" s="305"/>
      <c r="B69" s="327"/>
      <c r="C69" s="326"/>
    </row>
    <row r="70" ht="15.75" customHeight="1">
      <c r="A70" s="305"/>
      <c r="B70" s="327"/>
      <c r="C70" s="326"/>
    </row>
    <row r="71" ht="15.75" customHeight="1">
      <c r="A71" s="305"/>
      <c r="B71" s="327"/>
      <c r="C71" s="326"/>
    </row>
    <row r="72" ht="15.75" customHeight="1">
      <c r="A72" s="305"/>
      <c r="B72" s="327"/>
      <c r="C72" s="326"/>
    </row>
    <row r="73" ht="15.75" customHeight="1">
      <c r="A73" s="305"/>
      <c r="B73" s="327"/>
      <c r="C73" s="326"/>
    </row>
    <row r="74" ht="15.75" customHeight="1">
      <c r="A74" s="305"/>
      <c r="B74" s="327"/>
      <c r="C74" s="326"/>
    </row>
    <row r="75" ht="15.75" customHeight="1">
      <c r="A75" s="305"/>
      <c r="B75" s="327"/>
      <c r="C75" s="326"/>
    </row>
    <row r="76" ht="15.75" customHeight="1">
      <c r="A76" s="305"/>
      <c r="B76" s="327"/>
      <c r="C76" s="326"/>
    </row>
    <row r="77" ht="15.75" customHeight="1">
      <c r="A77" s="305"/>
      <c r="B77" s="327"/>
      <c r="C77" s="326"/>
    </row>
    <row r="78" ht="15.75" customHeight="1">
      <c r="A78" s="305"/>
      <c r="B78" s="327"/>
      <c r="C78" s="326"/>
    </row>
    <row r="79" ht="15.75" customHeight="1">
      <c r="A79" s="305"/>
      <c r="B79" s="327"/>
      <c r="C79" s="326"/>
    </row>
    <row r="80" ht="15.75" customHeight="1">
      <c r="A80" s="305"/>
      <c r="B80" s="327"/>
      <c r="C80" s="326"/>
    </row>
    <row r="81" ht="15.75" customHeight="1">
      <c r="A81" s="305"/>
      <c r="B81" s="327"/>
      <c r="C81" s="326"/>
    </row>
    <row r="82" ht="15.75" customHeight="1">
      <c r="A82" s="305"/>
      <c r="B82" s="327"/>
      <c r="C82" s="326"/>
    </row>
    <row r="83" ht="15.75" customHeight="1">
      <c r="A83" s="305"/>
      <c r="B83" s="327"/>
      <c r="C83" s="326"/>
    </row>
    <row r="84" ht="15.75" customHeight="1">
      <c r="A84" s="305"/>
      <c r="B84" s="327"/>
      <c r="C84" s="326"/>
    </row>
    <row r="85" ht="15.75" customHeight="1">
      <c r="A85" s="305"/>
      <c r="B85" s="327"/>
      <c r="C85" s="326"/>
    </row>
    <row r="86" ht="15.75" customHeight="1">
      <c r="A86" s="305"/>
      <c r="B86" s="327"/>
      <c r="C86" s="326"/>
    </row>
    <row r="87" ht="15.75" customHeight="1">
      <c r="A87" s="305"/>
      <c r="B87" s="327"/>
      <c r="C87" s="326"/>
    </row>
    <row r="88" ht="15.75" customHeight="1">
      <c r="A88" s="305"/>
      <c r="B88" s="327"/>
      <c r="C88" s="326"/>
    </row>
    <row r="89" ht="15.75" customHeight="1">
      <c r="A89" s="305"/>
      <c r="B89" s="327"/>
      <c r="C89" s="326"/>
    </row>
    <row r="90" ht="15.75" customHeight="1">
      <c r="A90" s="305"/>
      <c r="B90" s="327"/>
      <c r="C90" s="326"/>
    </row>
    <row r="91" ht="15.75" customHeight="1">
      <c r="A91" s="305"/>
      <c r="B91" s="327"/>
      <c r="C91" s="326"/>
    </row>
    <row r="92" ht="15.75" customHeight="1">
      <c r="A92" s="305"/>
      <c r="B92" s="327"/>
      <c r="C92" s="326"/>
    </row>
    <row r="93" ht="15.75" customHeight="1">
      <c r="A93" s="305"/>
      <c r="B93" s="327"/>
      <c r="C93" s="326"/>
    </row>
    <row r="94" ht="15.75" customHeight="1">
      <c r="A94" s="305"/>
      <c r="B94" s="327"/>
      <c r="C94" s="326"/>
    </row>
    <row r="95" ht="15.75" customHeight="1">
      <c r="A95" s="305"/>
      <c r="B95" s="327"/>
      <c r="C95" s="326"/>
    </row>
    <row r="96" ht="15.75" customHeight="1">
      <c r="A96" s="305"/>
      <c r="B96" s="327"/>
      <c r="C96" s="326"/>
    </row>
    <row r="97" ht="15.75" customHeight="1">
      <c r="A97" s="305"/>
      <c r="B97" s="327"/>
      <c r="C97" s="326"/>
    </row>
    <row r="98" ht="15.75" customHeight="1">
      <c r="A98" s="305"/>
      <c r="B98" s="327"/>
      <c r="C98" s="326"/>
    </row>
    <row r="99" ht="15.75" customHeight="1">
      <c r="A99" s="305"/>
      <c r="B99" s="327"/>
      <c r="C99" s="326"/>
    </row>
    <row r="100" ht="15.75" customHeight="1">
      <c r="A100" s="305"/>
      <c r="B100" s="327"/>
      <c r="C100" s="326"/>
    </row>
    <row r="101" ht="15.75" customHeight="1">
      <c r="A101" s="305"/>
      <c r="B101" s="327"/>
      <c r="C101" s="326"/>
    </row>
    <row r="102" ht="15.75" customHeight="1">
      <c r="A102" s="305"/>
      <c r="B102" s="327"/>
      <c r="C102" s="326"/>
    </row>
    <row r="103" ht="15.75" customHeight="1">
      <c r="A103" s="305"/>
      <c r="B103" s="327"/>
      <c r="C103" s="326"/>
    </row>
    <row r="104" ht="15.75" customHeight="1">
      <c r="A104" s="305"/>
      <c r="B104" s="327"/>
      <c r="C104" s="326"/>
    </row>
    <row r="105" ht="15.75" customHeight="1">
      <c r="A105" s="305"/>
      <c r="B105" s="327"/>
      <c r="C105" s="326"/>
    </row>
    <row r="106" ht="15.75" customHeight="1">
      <c r="A106" s="305"/>
      <c r="B106" s="327"/>
      <c r="C106" s="326"/>
    </row>
    <row r="107" ht="15.75" customHeight="1">
      <c r="A107" s="305"/>
      <c r="B107" s="327"/>
      <c r="C107" s="326"/>
    </row>
    <row r="108" ht="15.75" customHeight="1">
      <c r="A108" s="305"/>
      <c r="B108" s="327"/>
      <c r="C108" s="326"/>
    </row>
    <row r="109" ht="15.75" customHeight="1">
      <c r="A109" s="305"/>
      <c r="B109" s="327"/>
      <c r="C109" s="326"/>
    </row>
    <row r="110" ht="15.75" customHeight="1">
      <c r="A110" s="305"/>
      <c r="B110" s="327"/>
      <c r="C110" s="326"/>
    </row>
    <row r="111" ht="15.75" customHeight="1">
      <c r="A111" s="305"/>
      <c r="B111" s="327"/>
      <c r="C111" s="326"/>
    </row>
    <row r="112" ht="15.75" customHeight="1">
      <c r="A112" s="305"/>
      <c r="B112" s="327"/>
      <c r="C112" s="326"/>
    </row>
    <row r="113" ht="15.75" customHeight="1">
      <c r="A113" s="305"/>
      <c r="B113" s="327"/>
      <c r="C113" s="326"/>
    </row>
    <row r="114" ht="15.75" customHeight="1">
      <c r="A114" s="305"/>
      <c r="B114" s="327"/>
      <c r="C114" s="326"/>
    </row>
    <row r="115" ht="15.75" customHeight="1">
      <c r="A115" s="305"/>
      <c r="B115" s="327"/>
      <c r="C115" s="326"/>
    </row>
    <row r="116" ht="15.75" customHeight="1">
      <c r="A116" s="305"/>
      <c r="B116" s="327"/>
      <c r="C116" s="326"/>
    </row>
    <row r="117" ht="15.75" customHeight="1">
      <c r="A117" s="305"/>
      <c r="B117" s="327"/>
      <c r="C117" s="326"/>
    </row>
    <row r="118" ht="15.75" customHeight="1">
      <c r="A118" s="305"/>
      <c r="B118" s="327"/>
      <c r="C118" s="326"/>
    </row>
    <row r="119" ht="15.75" customHeight="1">
      <c r="A119" s="305"/>
      <c r="B119" s="327"/>
      <c r="C119" s="326"/>
    </row>
    <row r="120" ht="15.75" customHeight="1">
      <c r="A120" s="305"/>
      <c r="B120" s="327"/>
      <c r="C120" s="326"/>
    </row>
    <row r="121" ht="15.75" customHeight="1">
      <c r="A121" s="305"/>
      <c r="B121" s="327"/>
      <c r="C121" s="326"/>
    </row>
    <row r="122" ht="15.75" customHeight="1">
      <c r="A122" s="305"/>
      <c r="B122" s="327"/>
      <c r="C122" s="326"/>
    </row>
    <row r="123" ht="15.75" customHeight="1">
      <c r="A123" s="305"/>
      <c r="B123" s="327"/>
      <c r="C123" s="326"/>
    </row>
    <row r="124" ht="15.75" customHeight="1">
      <c r="A124" s="305"/>
      <c r="B124" s="327"/>
      <c r="C124" s="326"/>
    </row>
    <row r="125" ht="15.75" customHeight="1">
      <c r="A125" s="305"/>
      <c r="B125" s="327"/>
      <c r="C125" s="326"/>
    </row>
    <row r="126" ht="15.75" customHeight="1">
      <c r="A126" s="305"/>
      <c r="B126" s="327"/>
      <c r="C126" s="326"/>
    </row>
    <row r="127" ht="15.75" customHeight="1">
      <c r="A127" s="305"/>
      <c r="B127" s="327"/>
      <c r="C127" s="326"/>
    </row>
    <row r="128" ht="15.75" customHeight="1">
      <c r="A128" s="305"/>
      <c r="B128" s="327"/>
      <c r="C128" s="326"/>
    </row>
    <row r="129" ht="15.75" customHeight="1">
      <c r="A129" s="305"/>
      <c r="B129" s="327"/>
      <c r="C129" s="326"/>
    </row>
    <row r="130" ht="15.75" customHeight="1">
      <c r="A130" s="305"/>
      <c r="B130" s="327"/>
      <c r="C130" s="326"/>
    </row>
    <row r="131" ht="15.75" customHeight="1">
      <c r="A131" s="305"/>
      <c r="B131" s="327"/>
      <c r="C131" s="326"/>
    </row>
    <row r="132" ht="15.75" customHeight="1">
      <c r="A132" s="305"/>
      <c r="B132" s="327"/>
      <c r="C132" s="326"/>
    </row>
    <row r="133" ht="15.75" customHeight="1">
      <c r="A133" s="305"/>
      <c r="B133" s="327"/>
      <c r="C133" s="326"/>
    </row>
    <row r="134" ht="15.75" customHeight="1">
      <c r="A134" s="305"/>
      <c r="B134" s="327"/>
      <c r="C134" s="326"/>
    </row>
    <row r="135" ht="15.75" customHeight="1">
      <c r="A135" s="305"/>
      <c r="B135" s="327"/>
      <c r="C135" s="326"/>
    </row>
    <row r="136" ht="15.75" customHeight="1">
      <c r="A136" s="305"/>
      <c r="B136" s="327"/>
      <c r="C136" s="326"/>
    </row>
    <row r="137" ht="15.75" customHeight="1">
      <c r="A137" s="305"/>
      <c r="B137" s="327"/>
      <c r="C137" s="326"/>
    </row>
    <row r="138" ht="15.75" customHeight="1">
      <c r="A138" s="305"/>
      <c r="B138" s="327"/>
      <c r="C138" s="326"/>
    </row>
    <row r="139" ht="15.75" customHeight="1">
      <c r="A139" s="305"/>
      <c r="B139" s="327"/>
      <c r="C139" s="326"/>
    </row>
    <row r="140" ht="15.75" customHeight="1">
      <c r="A140" s="305"/>
      <c r="B140" s="327"/>
      <c r="C140" s="326"/>
    </row>
    <row r="141" ht="15.75" customHeight="1">
      <c r="A141" s="305"/>
      <c r="B141" s="327"/>
      <c r="C141" s="326"/>
    </row>
    <row r="142" ht="15.75" customHeight="1">
      <c r="A142" s="305"/>
      <c r="B142" s="327"/>
      <c r="C142" s="326"/>
    </row>
    <row r="143" ht="15.75" customHeight="1">
      <c r="A143" s="305"/>
      <c r="B143" s="327"/>
      <c r="C143" s="326"/>
    </row>
    <row r="144" ht="15.75" customHeight="1">
      <c r="A144" s="305"/>
      <c r="B144" s="327"/>
      <c r="C144" s="326"/>
    </row>
    <row r="145" ht="15.75" customHeight="1">
      <c r="A145" s="305"/>
      <c r="B145" s="327"/>
      <c r="C145" s="326"/>
    </row>
    <row r="146" ht="15.75" customHeight="1">
      <c r="A146" s="305"/>
      <c r="B146" s="327"/>
      <c r="C146" s="326"/>
    </row>
    <row r="147" ht="15.75" customHeight="1">
      <c r="A147" s="305"/>
      <c r="B147" s="327"/>
      <c r="C147" s="326"/>
    </row>
    <row r="148" ht="15.75" customHeight="1">
      <c r="A148" s="305"/>
      <c r="B148" s="327"/>
      <c r="C148" s="326"/>
    </row>
    <row r="149" ht="15.75" customHeight="1">
      <c r="A149" s="305"/>
      <c r="B149" s="327"/>
      <c r="C149" s="326"/>
    </row>
    <row r="150" ht="15.75" customHeight="1">
      <c r="A150" s="305"/>
      <c r="B150" s="327"/>
      <c r="C150" s="326"/>
    </row>
    <row r="151" ht="15.75" customHeight="1">
      <c r="A151" s="305"/>
      <c r="B151" s="327"/>
      <c r="C151" s="326"/>
    </row>
    <row r="152" ht="15.75" customHeight="1">
      <c r="A152" s="305"/>
      <c r="B152" s="327"/>
      <c r="C152" s="326"/>
    </row>
    <row r="153" ht="15.75" customHeight="1">
      <c r="A153" s="305"/>
      <c r="B153" s="327"/>
      <c r="C153" s="326"/>
    </row>
    <row r="154" ht="15.75" customHeight="1">
      <c r="A154" s="305"/>
      <c r="B154" s="327"/>
      <c r="C154" s="326"/>
    </row>
    <row r="155" ht="15.75" customHeight="1">
      <c r="A155" s="305"/>
      <c r="B155" s="327"/>
      <c r="C155" s="326"/>
    </row>
    <row r="156" ht="15.75" customHeight="1">
      <c r="A156" s="305"/>
      <c r="B156" s="327"/>
      <c r="C156" s="326"/>
    </row>
    <row r="157" ht="15.75" customHeight="1">
      <c r="A157" s="305"/>
      <c r="B157" s="327"/>
      <c r="C157" s="326"/>
    </row>
    <row r="158" ht="15.75" customHeight="1">
      <c r="A158" s="305"/>
      <c r="B158" s="327"/>
      <c r="C158" s="326"/>
    </row>
    <row r="159" ht="15.75" customHeight="1">
      <c r="A159" s="305"/>
      <c r="B159" s="327"/>
      <c r="C159" s="326"/>
    </row>
    <row r="160" ht="15.75" customHeight="1">
      <c r="A160" s="305"/>
      <c r="B160" s="327"/>
      <c r="C160" s="326"/>
    </row>
    <row r="161" ht="15.75" customHeight="1">
      <c r="A161" s="305"/>
      <c r="B161" s="327"/>
      <c r="C161" s="326"/>
    </row>
    <row r="162" ht="15.75" customHeight="1">
      <c r="A162" s="305"/>
      <c r="B162" s="327"/>
      <c r="C162" s="326"/>
    </row>
    <row r="163" ht="15.75" customHeight="1">
      <c r="A163" s="305"/>
      <c r="B163" s="327"/>
      <c r="C163" s="326"/>
    </row>
    <row r="164" ht="15.75" customHeight="1">
      <c r="A164" s="305"/>
      <c r="B164" s="327"/>
      <c r="C164" s="326"/>
    </row>
    <row r="165" ht="15.75" customHeight="1">
      <c r="A165" s="305"/>
      <c r="B165" s="327"/>
      <c r="C165" s="326"/>
    </row>
    <row r="166" ht="15.75" customHeight="1">
      <c r="A166" s="305"/>
      <c r="B166" s="327"/>
      <c r="C166" s="326"/>
    </row>
    <row r="167" ht="15.75" customHeight="1">
      <c r="A167" s="305"/>
      <c r="B167" s="327"/>
      <c r="C167" s="326"/>
    </row>
    <row r="168" ht="15.75" customHeight="1">
      <c r="A168" s="305"/>
      <c r="B168" s="327"/>
      <c r="C168" s="326"/>
    </row>
    <row r="169" ht="15.75" customHeight="1">
      <c r="A169" s="305"/>
      <c r="B169" s="327"/>
      <c r="C169" s="326"/>
    </row>
    <row r="170" ht="15.75" customHeight="1">
      <c r="A170" s="305"/>
      <c r="B170" s="327"/>
      <c r="C170" s="326"/>
    </row>
    <row r="171" ht="15.75" customHeight="1">
      <c r="A171" s="305"/>
      <c r="B171" s="327"/>
      <c r="C171" s="326"/>
    </row>
    <row r="172" ht="15.75" customHeight="1">
      <c r="A172" s="305"/>
      <c r="B172" s="327"/>
      <c r="C172" s="326"/>
    </row>
    <row r="173" ht="15.75" customHeight="1">
      <c r="A173" s="305"/>
      <c r="B173" s="327"/>
      <c r="C173" s="326"/>
    </row>
    <row r="174" ht="15.75" customHeight="1">
      <c r="A174" s="305"/>
      <c r="B174" s="327"/>
      <c r="C174" s="326"/>
    </row>
    <row r="175" ht="15.75" customHeight="1">
      <c r="A175" s="305"/>
      <c r="B175" s="327"/>
      <c r="C175" s="326"/>
    </row>
    <row r="176" ht="15.75" customHeight="1">
      <c r="A176" s="305"/>
      <c r="B176" s="327"/>
      <c r="C176" s="326"/>
    </row>
    <row r="177" ht="15.75" customHeight="1">
      <c r="A177" s="305"/>
      <c r="B177" s="327"/>
      <c r="C177" s="326"/>
    </row>
    <row r="178" ht="15.75" customHeight="1">
      <c r="A178" s="305"/>
      <c r="B178" s="327"/>
      <c r="C178" s="326"/>
    </row>
    <row r="179" ht="15.75" customHeight="1">
      <c r="A179" s="305"/>
      <c r="B179" s="327"/>
      <c r="C179" s="326"/>
    </row>
    <row r="180" ht="15.75" customHeight="1">
      <c r="A180" s="305"/>
      <c r="B180" s="327"/>
      <c r="C180" s="326"/>
    </row>
    <row r="181" ht="15.75" customHeight="1">
      <c r="A181" s="305"/>
      <c r="B181" s="327"/>
      <c r="C181" s="326"/>
    </row>
    <row r="182" ht="15.75" customHeight="1">
      <c r="A182" s="305"/>
      <c r="B182" s="327"/>
      <c r="C182" s="326"/>
    </row>
    <row r="183" ht="15.75" customHeight="1">
      <c r="A183" s="305"/>
      <c r="B183" s="327"/>
      <c r="C183" s="326"/>
    </row>
    <row r="184" ht="15.75" customHeight="1">
      <c r="A184" s="305"/>
      <c r="B184" s="327"/>
      <c r="C184" s="326"/>
    </row>
    <row r="185" ht="15.75" customHeight="1">
      <c r="A185" s="305"/>
      <c r="B185" s="327"/>
      <c r="C185" s="326"/>
    </row>
    <row r="186" ht="15.75" customHeight="1">
      <c r="A186" s="305"/>
      <c r="B186" s="327"/>
      <c r="C186" s="326"/>
    </row>
    <row r="187" ht="15.75" customHeight="1">
      <c r="A187" s="305"/>
      <c r="B187" s="327"/>
      <c r="C187" s="326"/>
    </row>
    <row r="188" ht="15.75" customHeight="1">
      <c r="A188" s="305"/>
      <c r="B188" s="327"/>
      <c r="C188" s="326"/>
    </row>
    <row r="189" ht="15.75" customHeight="1">
      <c r="A189" s="305"/>
      <c r="B189" s="327"/>
      <c r="C189" s="326"/>
    </row>
    <row r="190" ht="15.75" customHeight="1">
      <c r="A190" s="305"/>
      <c r="B190" s="327"/>
      <c r="C190" s="326"/>
    </row>
    <row r="191" ht="15.75" customHeight="1">
      <c r="A191" s="305"/>
      <c r="B191" s="327"/>
      <c r="C191" s="326"/>
    </row>
    <row r="192" ht="15.75" customHeight="1">
      <c r="A192" s="305"/>
      <c r="B192" s="327"/>
      <c r="C192" s="326"/>
    </row>
    <row r="193" ht="15.75" customHeight="1">
      <c r="A193" s="305"/>
      <c r="B193" s="327"/>
      <c r="C193" s="326"/>
    </row>
    <row r="194" ht="15.75" customHeight="1">
      <c r="A194" s="305"/>
      <c r="B194" s="327"/>
      <c r="C194" s="326"/>
    </row>
    <row r="195" ht="15.75" customHeight="1">
      <c r="A195" s="305"/>
      <c r="B195" s="327"/>
      <c r="C195" s="326"/>
    </row>
    <row r="196" ht="15.75" customHeight="1">
      <c r="A196" s="305"/>
      <c r="B196" s="327"/>
      <c r="C196" s="326"/>
    </row>
    <row r="197" ht="15.75" customHeight="1">
      <c r="A197" s="305"/>
      <c r="B197" s="327"/>
      <c r="C197" s="326"/>
    </row>
    <row r="198" ht="15.75" customHeight="1">
      <c r="A198" s="305"/>
      <c r="B198" s="327"/>
      <c r="C198" s="326"/>
    </row>
    <row r="199" ht="15.75" customHeight="1">
      <c r="A199" s="305"/>
      <c r="B199" s="327"/>
      <c r="C199" s="326"/>
    </row>
    <row r="200" ht="15.75" customHeight="1">
      <c r="A200" s="305"/>
      <c r="B200" s="327"/>
      <c r="C200" s="326"/>
    </row>
    <row r="201" ht="15.75" customHeight="1">
      <c r="A201" s="305"/>
      <c r="B201" s="327"/>
      <c r="C201" s="326"/>
    </row>
    <row r="202" ht="15.75" customHeight="1">
      <c r="A202" s="305"/>
      <c r="B202" s="327"/>
      <c r="C202" s="326"/>
    </row>
    <row r="203" ht="15.75" customHeight="1">
      <c r="A203" s="305"/>
      <c r="B203" s="327"/>
      <c r="C203" s="326"/>
    </row>
    <row r="204" ht="15.75" customHeight="1">
      <c r="A204" s="305"/>
      <c r="B204" s="327"/>
      <c r="C204" s="326"/>
    </row>
    <row r="205" ht="15.75" customHeight="1">
      <c r="A205" s="305"/>
      <c r="B205" s="327"/>
      <c r="C205" s="326"/>
    </row>
    <row r="206" ht="15.75" customHeight="1">
      <c r="A206" s="305"/>
      <c r="B206" s="327"/>
      <c r="C206" s="326"/>
    </row>
    <row r="207" ht="15.75" customHeight="1">
      <c r="A207" s="305"/>
      <c r="B207" s="327"/>
      <c r="C207" s="326"/>
    </row>
    <row r="208" ht="15.75" customHeight="1">
      <c r="A208" s="305"/>
      <c r="B208" s="327"/>
      <c r="C208" s="326"/>
    </row>
    <row r="209" ht="15.75" customHeight="1">
      <c r="A209" s="305"/>
      <c r="B209" s="327"/>
      <c r="C209" s="326"/>
    </row>
    <row r="210" ht="15.75" customHeight="1">
      <c r="A210" s="305"/>
      <c r="B210" s="327"/>
      <c r="C210" s="326"/>
    </row>
    <row r="211" ht="15.75" customHeight="1">
      <c r="A211" s="305"/>
      <c r="B211" s="327"/>
      <c r="C211" s="326"/>
    </row>
    <row r="212" ht="15.75" customHeight="1">
      <c r="A212" s="305"/>
      <c r="B212" s="327"/>
      <c r="C212" s="326"/>
    </row>
    <row r="213" ht="15.75" customHeight="1">
      <c r="A213" s="305"/>
      <c r="B213" s="327"/>
      <c r="C213" s="326"/>
    </row>
    <row r="214" ht="15.75" customHeight="1">
      <c r="A214" s="305"/>
      <c r="B214" s="327"/>
      <c r="C214" s="326"/>
    </row>
    <row r="215" ht="15.75" customHeight="1">
      <c r="A215" s="305"/>
      <c r="B215" s="327"/>
      <c r="C215" s="326"/>
    </row>
    <row r="216" ht="15.75" customHeight="1">
      <c r="A216" s="305"/>
      <c r="B216" s="327"/>
      <c r="C216" s="326"/>
    </row>
    <row r="217" ht="15.75" customHeight="1">
      <c r="A217" s="305"/>
      <c r="B217" s="327"/>
      <c r="C217" s="326"/>
    </row>
    <row r="218" ht="15.75" customHeight="1">
      <c r="A218" s="305"/>
      <c r="B218" s="327"/>
      <c r="C218" s="326"/>
    </row>
    <row r="219" ht="15.75" customHeight="1">
      <c r="A219" s="305"/>
      <c r="B219" s="327"/>
      <c r="C219" s="326"/>
    </row>
    <row r="220" ht="15.75" customHeight="1">
      <c r="A220" s="305"/>
      <c r="B220" s="327"/>
      <c r="C220" s="32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1">
    <tablePart r:id="rId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