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29.xml"/>
  <Override ContentType="application/vnd.openxmlformats-officedocument.spreadsheetml.table+xml" PartName="/xl/tables/table28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30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u 1 - Duck" sheetId="1" r:id="rId4"/>
    <sheet state="visible" name="Menu 2 - Beef" sheetId="2" r:id="rId5"/>
    <sheet state="visible" name="Menu 3 - Lamb" sheetId="3" r:id="rId6"/>
    <sheet state="visible" name="Shopping List" sheetId="4" r:id="rId7"/>
  </sheets>
  <definedNames/>
  <calcPr/>
  <extLst>
    <ext uri="GoogleSheetsCustomDataVersion1">
      <go:sheetsCustomData xmlns:go="http://customooxmlschemas.google.com/" r:id="rId8" roundtripDataSignature="AMtx7mgZjYcIjM0NZr3QNnEh7HWXxmu3hA=="/>
    </ext>
  </extLst>
</workbook>
</file>

<file path=xl/sharedStrings.xml><?xml version="1.0" encoding="utf-8"?>
<sst xmlns="http://schemas.openxmlformats.org/spreadsheetml/2006/main" count="170" uniqueCount="83">
  <si>
    <t>Menu</t>
  </si>
  <si>
    <t>Lifestage</t>
  </si>
  <si>
    <t>Puppy Development</t>
  </si>
  <si>
    <t>Ideal Body Weight</t>
  </si>
  <si>
    <t>LB</t>
  </si>
  <si>
    <t>Feeding Percentage</t>
  </si>
  <si>
    <t>Daily Intake - in ounces</t>
  </si>
  <si>
    <t>Daily Intake - in grams</t>
  </si>
  <si>
    <t>G</t>
  </si>
  <si>
    <t>Daily Calories</t>
  </si>
  <si>
    <t>KCAL</t>
  </si>
  <si>
    <t>80/10/10 Base</t>
  </si>
  <si>
    <t>Muscle Meat</t>
  </si>
  <si>
    <t>Secreting Organs</t>
  </si>
  <si>
    <t>Seafood</t>
  </si>
  <si>
    <t>Vegetable</t>
  </si>
  <si>
    <t>Healthy Fat</t>
  </si>
  <si>
    <t>TSP</t>
  </si>
  <si>
    <t>Supplement</t>
  </si>
  <si>
    <t>DROP</t>
  </si>
  <si>
    <t>Day 1 Menu Ratio Breakdown</t>
  </si>
  <si>
    <t>Edible Bone</t>
  </si>
  <si>
    <t>Organs</t>
  </si>
  <si>
    <t>Produce</t>
  </si>
  <si>
    <t>Supplements</t>
  </si>
  <si>
    <t>80/10/10 Duck Grind Guaranteed Analysis</t>
  </si>
  <si>
    <r>
      <rPr>
        <rFont val="Arial"/>
        <color theme="1"/>
        <sz val="8.0"/>
      </rPr>
      <t xml:space="preserve">Protein, </t>
    </r>
    <r>
      <rPr>
        <rFont val="Arial"/>
        <i/>
        <color theme="1"/>
        <sz val="8.0"/>
      </rPr>
      <t>minimum</t>
    </r>
  </si>
  <si>
    <r>
      <rPr>
        <rFont val="Arial"/>
        <color theme="1"/>
        <sz val="8.0"/>
      </rPr>
      <t xml:space="preserve">Fat, </t>
    </r>
    <r>
      <rPr>
        <rFont val="Arial"/>
        <i/>
        <color theme="1"/>
        <sz val="8.0"/>
      </rPr>
      <t>minimum</t>
    </r>
  </si>
  <si>
    <r>
      <rPr>
        <rFont val="Arial"/>
        <color theme="1"/>
        <sz val="8.0"/>
      </rPr>
      <t xml:space="preserve">Fiber, </t>
    </r>
    <r>
      <rPr>
        <rFont val="Arial"/>
        <i/>
        <color theme="1"/>
        <sz val="8.0"/>
      </rPr>
      <t>minimum</t>
    </r>
  </si>
  <si>
    <r>
      <rPr>
        <rFont val="Arial"/>
        <color theme="1"/>
        <sz val="8.0"/>
      </rPr>
      <t xml:space="preserve">Ash, </t>
    </r>
    <r>
      <rPr>
        <rFont val="Arial"/>
        <i/>
        <color theme="1"/>
        <sz val="8.0"/>
      </rPr>
      <t>maxmium</t>
    </r>
  </si>
  <si>
    <r>
      <rPr>
        <rFont val="Arial"/>
        <color theme="1"/>
        <sz val="8.0"/>
      </rPr>
      <t xml:space="preserve">Moisture, </t>
    </r>
    <r>
      <rPr>
        <rFont val="Arial"/>
        <i/>
        <color theme="1"/>
        <sz val="8.0"/>
      </rPr>
      <t>maximum</t>
    </r>
  </si>
  <si>
    <t>Kcal per Kilogram</t>
  </si>
  <si>
    <t>Raw Meaty Bone</t>
  </si>
  <si>
    <t>Vegetables</t>
  </si>
  <si>
    <t>Day 2 Menu Ratio Breakdown</t>
  </si>
  <si>
    <t>80/10/10 Beef Grind Guaranteed Analysis</t>
  </si>
  <si>
    <r>
      <rPr>
        <rFont val="Arial"/>
        <color rgb="FF000000"/>
        <sz val="8.0"/>
      </rPr>
      <t xml:space="preserve">Protein, </t>
    </r>
    <r>
      <rPr>
        <rFont val="Arial"/>
        <i/>
        <color rgb="FF000000"/>
        <sz val="8.0"/>
      </rPr>
      <t>minimum</t>
    </r>
  </si>
  <si>
    <r>
      <rPr>
        <rFont val="Arial"/>
        <color rgb="FF000000"/>
        <sz val="8.0"/>
      </rPr>
      <t xml:space="preserve">Fat, </t>
    </r>
    <r>
      <rPr>
        <rFont val="Arial"/>
        <i/>
        <color rgb="FF000000"/>
        <sz val="8.0"/>
      </rPr>
      <t>minimum</t>
    </r>
  </si>
  <si>
    <r>
      <rPr>
        <rFont val="Arial"/>
        <color rgb="FF000000"/>
        <sz val="8.0"/>
      </rPr>
      <t xml:space="preserve">Fiber, </t>
    </r>
    <r>
      <rPr>
        <rFont val="Arial"/>
        <i/>
        <color rgb="FF000000"/>
        <sz val="8.0"/>
      </rPr>
      <t>minimum</t>
    </r>
  </si>
  <si>
    <r>
      <rPr>
        <rFont val="Arial"/>
        <color rgb="FF000000"/>
        <sz val="8.0"/>
      </rPr>
      <t xml:space="preserve">Ash, </t>
    </r>
    <r>
      <rPr>
        <rFont val="Arial"/>
        <i/>
        <color rgb="FF000000"/>
        <sz val="8.0"/>
      </rPr>
      <t>maxmium</t>
    </r>
  </si>
  <si>
    <r>
      <rPr>
        <rFont val="Arial"/>
        <color rgb="FF000000"/>
        <sz val="8.0"/>
      </rPr>
      <t xml:space="preserve">Moisture, </t>
    </r>
    <r>
      <rPr>
        <rFont val="Arial"/>
        <i/>
        <color rgb="FF000000"/>
        <sz val="8.0"/>
      </rPr>
      <t>maximum</t>
    </r>
  </si>
  <si>
    <t>Secreating Organ</t>
  </si>
  <si>
    <t>Whole Food</t>
  </si>
  <si>
    <t>QTY</t>
  </si>
  <si>
    <t>Day 3 Menu Ratio Breakdown</t>
  </si>
  <si>
    <t>80/10/10 Lamb Grind Guaranteed Analysis</t>
  </si>
  <si>
    <r>
      <rPr>
        <rFont val="Arial"/>
        <color theme="1"/>
        <sz val="8.0"/>
      </rPr>
      <t xml:space="preserve">Protein, </t>
    </r>
    <r>
      <rPr>
        <rFont val="Arial"/>
        <i/>
        <color theme="1"/>
        <sz val="8.0"/>
      </rPr>
      <t>minimum</t>
    </r>
  </si>
  <si>
    <r>
      <rPr>
        <rFont val="Arial"/>
        <color theme="1"/>
        <sz val="8.0"/>
      </rPr>
      <t xml:space="preserve">Fat, </t>
    </r>
    <r>
      <rPr>
        <rFont val="Arial"/>
        <i/>
        <color theme="1"/>
        <sz val="8.0"/>
      </rPr>
      <t>minimum</t>
    </r>
  </si>
  <si>
    <r>
      <rPr>
        <rFont val="Arial"/>
        <color theme="1"/>
        <sz val="8.0"/>
      </rPr>
      <t xml:space="preserve">Fiber, </t>
    </r>
    <r>
      <rPr>
        <rFont val="Arial"/>
        <i/>
        <color theme="1"/>
        <sz val="8.0"/>
      </rPr>
      <t>minimum</t>
    </r>
  </si>
  <si>
    <r>
      <rPr>
        <rFont val="Arial"/>
        <color theme="1"/>
        <sz val="8.0"/>
      </rPr>
      <t xml:space="preserve">Ash, </t>
    </r>
    <r>
      <rPr>
        <rFont val="Arial"/>
        <i/>
        <color theme="1"/>
        <sz val="8.0"/>
      </rPr>
      <t>maxmium</t>
    </r>
  </si>
  <si>
    <r>
      <rPr>
        <rFont val="Arial"/>
        <color theme="1"/>
        <sz val="8.0"/>
      </rPr>
      <t xml:space="preserve">Moisture, </t>
    </r>
    <r>
      <rPr>
        <rFont val="Arial"/>
        <i/>
        <color theme="1"/>
        <sz val="8.0"/>
      </rPr>
      <t>maximum</t>
    </r>
  </si>
  <si>
    <t>Shopping List</t>
  </si>
  <si>
    <t>Total Number of NRC Recipes:</t>
  </si>
  <si>
    <t>Total Number of Days Calculated:</t>
  </si>
  <si>
    <t>Total Raw Ingredients Weight</t>
  </si>
  <si>
    <t>Average Price Per Pound</t>
  </si>
  <si>
    <t>Total Supplement Costs</t>
  </si>
  <si>
    <t>Estimated Monthly Budget:</t>
  </si>
  <si>
    <t>Ingredient List</t>
  </si>
  <si>
    <t>Duck Grind</t>
  </si>
  <si>
    <t>Raw Feeding Miami</t>
  </si>
  <si>
    <t>Beef Grind</t>
  </si>
  <si>
    <t>Lamb Grind</t>
  </si>
  <si>
    <t>Green Tripe, whole or ground</t>
  </si>
  <si>
    <t>Beef Heart</t>
  </si>
  <si>
    <t>Poultry Neck or Head, whole or ground</t>
  </si>
  <si>
    <t>Chicken Ribcages, whole or ground; or Duck Frames</t>
  </si>
  <si>
    <t>Monster Mash</t>
  </si>
  <si>
    <t>Salmon, whole or ground</t>
  </si>
  <si>
    <t>Mackerel</t>
  </si>
  <si>
    <t>Thread Herring, whole or ground</t>
  </si>
  <si>
    <t>Broccoli, raw pureed or steamed</t>
  </si>
  <si>
    <t>Spinach, raw pureed or steamed</t>
  </si>
  <si>
    <t>Butternut Squash, fully cooked</t>
  </si>
  <si>
    <t>Large Chicken Egg, no shell</t>
  </si>
  <si>
    <t>EGGS</t>
  </si>
  <si>
    <t>/ DOZ</t>
  </si>
  <si>
    <t>Supplement List</t>
  </si>
  <si>
    <t>Hempseed Oil</t>
  </si>
  <si>
    <t>Amazon</t>
  </si>
  <si>
    <t>/ BTL</t>
  </si>
  <si>
    <t>Flaxseed Oil</t>
  </si>
  <si>
    <t>DROPS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</si>
</sst>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%"/>
    <numFmt numFmtId="166" formatCode="_(&quot;$&quot;* #,##0.00_);_(&quot;$&quot;* \(#,##0.00\);_(&quot;$&quot;* &quot;-&quot;??_);_(@_)"/>
  </numFmts>
  <fonts count="20">
    <font>
      <sz val="10.0"/>
      <color rgb="FF000000"/>
      <name val="Arial"/>
    </font>
    <font>
      <sz val="10.0"/>
      <color theme="1"/>
      <name val="Arial"/>
    </font>
    <font/>
    <font>
      <sz val="8.0"/>
      <color theme="1"/>
      <name val="Arial"/>
    </font>
    <font>
      <b/>
      <sz val="14.0"/>
      <color theme="1"/>
      <name val="Arial"/>
    </font>
    <font>
      <b/>
      <sz val="10.0"/>
      <color theme="1"/>
      <name val="Arial"/>
    </font>
    <font>
      <b/>
      <sz val="10.0"/>
      <name val="Arial"/>
    </font>
    <font>
      <b/>
      <u/>
      <sz val="10.0"/>
      <color rgb="FF000000"/>
      <name val="Arial"/>
    </font>
    <font>
      <b/>
      <sz val="10.0"/>
      <color rgb="FF000000"/>
      <name val="Arial"/>
    </font>
    <font>
      <i/>
      <sz val="8.0"/>
      <color theme="1"/>
      <name val="Arial"/>
    </font>
    <font>
      <i/>
      <sz val="9.0"/>
      <color theme="1"/>
      <name val="Arial"/>
    </font>
    <font>
      <color theme="1"/>
      <name val="Calibri"/>
    </font>
    <font>
      <i/>
      <sz val="9.0"/>
      <color rgb="FF000000"/>
      <name val="Arial"/>
    </font>
    <font>
      <sz val="8.0"/>
      <color rgb="FF000000"/>
      <name val="Arial"/>
    </font>
    <font>
      <b/>
      <color theme="1"/>
      <name val="Arial"/>
    </font>
    <font>
      <color theme="1"/>
      <name val="Arial"/>
    </font>
    <font>
      <b/>
      <sz val="10.0"/>
      <color rgb="FFFFFFFF"/>
      <name val="Arial"/>
    </font>
    <font>
      <u/>
      <sz val="10.0"/>
      <color theme="1"/>
      <name val="Arial"/>
    </font>
    <font>
      <b/>
      <u/>
      <sz val="10.0"/>
      <color rgb="FFCC0000"/>
      <name val="Arial"/>
    </font>
    <font>
      <u/>
      <sz val="10.0"/>
      <color theme="1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A61C00"/>
        <bgColor rgb="FFA61C00"/>
      </patternFill>
    </fill>
    <fill>
      <patternFill patternType="solid">
        <fgColor rgb="FFE69138"/>
        <bgColor rgb="FFE69138"/>
      </patternFill>
    </fill>
    <fill>
      <patternFill patternType="solid">
        <fgColor rgb="FFF1C232"/>
        <bgColor rgb="FFF1C232"/>
      </patternFill>
    </fill>
    <fill>
      <patternFill patternType="solid">
        <fgColor rgb="FF38761D"/>
        <bgColor rgb="FF38761D"/>
      </patternFill>
    </fill>
    <fill>
      <patternFill patternType="solid">
        <fgColor rgb="FF45818E"/>
        <bgColor rgb="FF45818E"/>
      </patternFill>
    </fill>
    <fill>
      <patternFill patternType="solid">
        <fgColor rgb="FF674EA7"/>
        <bgColor rgb="FF674EA7"/>
      </patternFill>
    </fill>
    <fill>
      <patternFill patternType="solid">
        <fgColor rgb="FFF3F3F3"/>
        <bgColor rgb="FFF3F3F3"/>
      </patternFill>
    </fill>
  </fills>
  <borders count="22">
    <border/>
    <border>
      <left/>
      <top/>
      <bottom/>
    </border>
    <border>
      <top/>
      <bottom/>
    </border>
    <border>
      <right/>
      <top/>
      <bottom/>
    </border>
    <border>
      <bottom style="hair">
        <color rgb="FFB7B7B7"/>
      </bottom>
    </border>
    <border>
      <top style="hair">
        <color rgb="FFB7B7B7"/>
      </top>
      <bottom style="hair">
        <color rgb="FFB7B7B7"/>
      </bottom>
    </border>
    <border>
      <top style="hair">
        <color rgb="FFB7B7B7"/>
      </top>
    </border>
    <border>
      <left style="thick">
        <color rgb="FFCC0000"/>
      </left>
      <top style="thick">
        <color rgb="FFCC0000"/>
      </top>
      <bottom style="thick">
        <color rgb="FFCC0000"/>
      </bottom>
    </border>
    <border>
      <right style="thick">
        <color rgb="FFCC0000"/>
      </right>
      <top style="thick">
        <color rgb="FFCC0000"/>
      </top>
      <bottom style="thick">
        <color rgb="FFCC0000"/>
      </bottom>
    </border>
    <border>
      <left/>
      <right/>
      <top/>
      <bottom/>
    </border>
    <border>
      <top style="thick">
        <color rgb="FFCC0000"/>
      </top>
      <bottom style="thick">
        <color rgb="FFCC0000"/>
      </bottom>
    </border>
    <border>
      <bottom style="hair">
        <color rgb="FFA3C0C4"/>
      </bottom>
    </border>
    <border>
      <left/>
      <right/>
      <top/>
      <bottom style="hair">
        <color rgb="FFB7B7B7"/>
      </bottom>
    </border>
    <border>
      <left/>
      <right/>
      <top style="hair">
        <color rgb="FFB7B7B7"/>
      </top>
      <bottom style="hair">
        <color rgb="FFB7B7B7"/>
      </bottom>
    </border>
    <border>
      <left/>
      <right/>
      <top style="hair">
        <color rgb="FFB7B7B7"/>
      </top>
      <bottom/>
    </border>
    <border>
      <right/>
      <top style="hair">
        <color rgb="FFB7B7B7"/>
      </top>
      <bottom style="hair">
        <color rgb="FFB7B7B7"/>
      </bottom>
    </border>
    <border>
      <right/>
      <top style="hair">
        <color rgb="FFB7B7B7"/>
      </top>
    </border>
    <border>
      <top style="hair">
        <color rgb="FFA3C0C4"/>
      </top>
      <bottom style="hair">
        <color rgb="FFB7B7B7"/>
      </bottom>
    </border>
    <border>
      <left/>
      <top/>
      <bottom style="thin">
        <color rgb="FFB7B7B7"/>
      </bottom>
    </border>
    <border>
      <right/>
      <top/>
      <bottom style="thin">
        <color rgb="FFB7B7B7"/>
      </bottom>
    </border>
    <border>
      <left/>
      <right/>
      <top/>
      <bottom style="thin">
        <color rgb="FFB7B7B7"/>
      </bottom>
    </border>
    <border>
      <left/>
      <right/>
      <top/>
      <bottom style="thin">
        <color rgb="FFD9D9D9"/>
      </bottom>
    </border>
  </borders>
  <cellStyleXfs count="1">
    <xf borderId="0" fillId="0" fontId="0" numFmtId="0" applyAlignment="1" applyFont="1"/>
  </cellStyleXfs>
  <cellXfs count="17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horizontal="center" vertical="center"/>
    </xf>
    <xf borderId="4" fillId="0" fontId="3" numFmtId="0" xfId="0" applyAlignment="1" applyBorder="1" applyFont="1">
      <alignment shrinkToFit="0" vertical="center" wrapText="1"/>
    </xf>
    <xf borderId="4" fillId="0" fontId="2" numFmtId="0" xfId="0" applyBorder="1" applyFont="1"/>
    <xf borderId="4" fillId="0" fontId="4" numFmtId="0" xfId="0" applyAlignment="1" applyBorder="1" applyFont="1">
      <alignment horizontal="center" vertical="center"/>
    </xf>
    <xf borderId="5" fillId="0" fontId="3" numFmtId="0" xfId="0" applyAlignment="1" applyBorder="1" applyFont="1">
      <alignment shrinkToFit="0" vertical="center" wrapText="1"/>
    </xf>
    <xf borderId="5" fillId="0" fontId="2" numFmtId="0" xfId="0" applyBorder="1" applyFont="1"/>
    <xf borderId="6" fillId="0" fontId="5" numFmtId="0" xfId="0" applyAlignment="1" applyBorder="1" applyFont="1">
      <alignment horizontal="center" vertical="center"/>
    </xf>
    <xf borderId="6" fillId="0" fontId="2" numFmtId="0" xfId="0" applyBorder="1" applyFont="1"/>
    <xf borderId="5" fillId="0" fontId="3" numFmtId="0" xfId="0" applyAlignment="1" applyBorder="1" applyFont="1">
      <alignment horizontal="left" shrinkToFit="0" vertical="center" wrapText="1"/>
    </xf>
    <xf borderId="7" fillId="0" fontId="6" numFmtId="0" xfId="0" applyAlignment="1" applyBorder="1" applyFont="1">
      <alignment horizontal="right" vertical="center"/>
    </xf>
    <xf borderId="8" fillId="0" fontId="5" numFmtId="0" xfId="0" applyAlignment="1" applyBorder="1" applyFont="1">
      <alignment horizontal="left" vertical="center"/>
    </xf>
    <xf borderId="7" fillId="0" fontId="5" numFmtId="9" xfId="0" applyAlignment="1" applyBorder="1" applyFont="1" applyNumberFormat="1">
      <alignment horizontal="center" vertical="center"/>
    </xf>
    <xf borderId="8" fillId="0" fontId="2" numFmtId="0" xfId="0" applyBorder="1" applyFont="1"/>
    <xf borderId="4" fillId="0" fontId="5" numFmtId="2" xfId="0" applyAlignment="1" applyBorder="1" applyFont="1" applyNumberFormat="1">
      <alignment horizontal="right" vertical="center"/>
    </xf>
    <xf borderId="4" fillId="0" fontId="5" numFmtId="0" xfId="0" applyAlignment="1" applyBorder="1" applyFont="1">
      <alignment horizontal="left" vertical="center"/>
    </xf>
    <xf borderId="5" fillId="0" fontId="5" numFmtId="1" xfId="0" applyAlignment="1" applyBorder="1" applyFont="1" applyNumberFormat="1">
      <alignment horizontal="right" vertical="center"/>
    </xf>
    <xf borderId="5" fillId="0" fontId="5" numFmtId="164" xfId="0" applyAlignment="1" applyBorder="1" applyFont="1" applyNumberFormat="1">
      <alignment horizontal="left" vertical="center"/>
    </xf>
    <xf borderId="4" fillId="0" fontId="3" numFmtId="0" xfId="0" applyAlignment="1" applyBorder="1" applyFont="1">
      <alignment horizontal="left" shrinkToFit="0" vertical="center" wrapText="1"/>
    </xf>
    <xf borderId="4" fillId="0" fontId="5" numFmtId="1" xfId="0" applyAlignment="1" applyBorder="1" applyFont="1" applyNumberFormat="1">
      <alignment horizontal="right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1" fillId="3" fontId="5" numFmtId="0" xfId="0" applyAlignment="1" applyBorder="1" applyFill="1" applyFont="1">
      <alignment horizontal="center" vertical="center"/>
    </xf>
    <xf borderId="1" fillId="3" fontId="3" numFmtId="0" xfId="0" applyAlignment="1" applyBorder="1" applyFont="1">
      <alignment horizontal="center" shrinkToFit="0" vertical="center" wrapText="1"/>
    </xf>
    <xf borderId="9" fillId="4" fontId="3" numFmtId="0" xfId="0" applyAlignment="1" applyBorder="1" applyFill="1" applyFont="1">
      <alignment horizontal="left" shrinkToFit="0" vertical="center" wrapText="1"/>
    </xf>
    <xf borderId="9" fillId="4" fontId="5" numFmtId="2" xfId="0" applyAlignment="1" applyBorder="1" applyFont="1" applyNumberFormat="1">
      <alignment horizontal="right" vertical="center"/>
    </xf>
    <xf borderId="9" fillId="4" fontId="5" numFmtId="1" xfId="0" applyAlignment="1" applyBorder="1" applyFont="1" applyNumberFormat="1">
      <alignment horizontal="left" vertical="center"/>
    </xf>
    <xf borderId="9" fillId="4" fontId="1" numFmtId="0" xfId="0" applyAlignment="1" applyBorder="1" applyFont="1">
      <alignment vertical="center"/>
    </xf>
    <xf borderId="0" fillId="0" fontId="3" numFmtId="0" xfId="0" applyAlignment="1" applyFont="1">
      <alignment horizontal="left" shrinkToFit="0" vertical="center" wrapText="1"/>
    </xf>
    <xf borderId="0" fillId="0" fontId="3" numFmtId="164" xfId="0" applyAlignment="1" applyFont="1" applyNumberFormat="1">
      <alignment horizontal="right" vertical="center"/>
    </xf>
    <xf borderId="0" fillId="0" fontId="3" numFmtId="164" xfId="0" applyAlignment="1" applyFont="1" applyNumberFormat="1">
      <alignment horizontal="left" vertical="center"/>
    </xf>
    <xf borderId="0" fillId="0" fontId="1" numFmtId="0" xfId="0" applyAlignment="1" applyFont="1">
      <alignment vertical="center"/>
    </xf>
    <xf borderId="0" fillId="0" fontId="3" numFmtId="1" xfId="0" applyAlignment="1" applyFont="1" applyNumberFormat="1">
      <alignment horizontal="left" vertical="center"/>
    </xf>
    <xf borderId="9" fillId="4" fontId="3" numFmtId="0" xfId="0" applyAlignment="1" applyBorder="1" applyFont="1">
      <alignment shrinkToFit="0" vertical="center" wrapText="1"/>
    </xf>
    <xf borderId="9" fillId="4" fontId="5" numFmtId="0" xfId="0" applyAlignment="1" applyBorder="1" applyFont="1">
      <alignment horizontal="left" vertical="center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left" vertical="center"/>
    </xf>
    <xf borderId="1" fillId="3" fontId="7" numFmtId="0" xfId="0" applyAlignment="1" applyBorder="1" applyFont="1">
      <alignment horizontal="center" vertical="center"/>
    </xf>
    <xf borderId="7" fillId="3" fontId="5" numFmtId="0" xfId="0" applyAlignment="1" applyBorder="1" applyFont="1">
      <alignment horizontal="center" readingOrder="0" vertical="center"/>
    </xf>
    <xf borderId="10" fillId="0" fontId="2" numFmtId="0" xfId="0" applyBorder="1" applyFont="1"/>
    <xf borderId="1" fillId="3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left" vertical="center"/>
    </xf>
    <xf borderId="0" fillId="0" fontId="10" numFmtId="0" xfId="0" applyAlignment="1" applyFont="1">
      <alignment horizontal="left" vertical="center"/>
    </xf>
    <xf borderId="11" fillId="0" fontId="5" numFmtId="2" xfId="0" applyAlignment="1" applyBorder="1" applyFont="1" applyNumberFormat="1">
      <alignment horizontal="left" vertical="center"/>
    </xf>
    <xf borderId="11" fillId="0" fontId="2" numFmtId="0" xfId="0" applyBorder="1" applyFont="1"/>
    <xf borderId="0" fillId="0" fontId="11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12" fillId="5" fontId="1" numFmtId="0" xfId="0" applyAlignment="1" applyBorder="1" applyFill="1" applyFont="1">
      <alignment vertical="center"/>
    </xf>
    <xf borderId="4" fillId="0" fontId="3" numFmtId="2" xfId="0" applyAlignment="1" applyBorder="1" applyFont="1" applyNumberFormat="1">
      <alignment horizontal="left" vertical="center"/>
    </xf>
    <xf borderId="4" fillId="0" fontId="5" numFmtId="164" xfId="0" applyAlignment="1" applyBorder="1" applyFont="1" applyNumberFormat="1">
      <alignment horizontal="right" vertical="center"/>
    </xf>
    <xf borderId="4" fillId="0" fontId="5" numFmtId="1" xfId="0" applyAlignment="1" applyBorder="1" applyFont="1" applyNumberFormat="1">
      <alignment horizontal="left" vertical="center"/>
    </xf>
    <xf borderId="13" fillId="6" fontId="1" numFmtId="0" xfId="0" applyAlignment="1" applyBorder="1" applyFill="1" applyFont="1">
      <alignment vertical="center"/>
    </xf>
    <xf borderId="5" fillId="0" fontId="3" numFmtId="2" xfId="0" applyAlignment="1" applyBorder="1" applyFont="1" applyNumberFormat="1">
      <alignment horizontal="left" vertical="center"/>
    </xf>
    <xf borderId="5" fillId="0" fontId="5" numFmtId="164" xfId="0" applyAlignment="1" applyBorder="1" applyFont="1" applyNumberFormat="1">
      <alignment horizontal="right" vertical="center"/>
    </xf>
    <xf borderId="5" fillId="0" fontId="5" numFmtId="1" xfId="0" applyAlignment="1" applyBorder="1" applyFont="1" applyNumberFormat="1">
      <alignment horizontal="left" vertical="center"/>
    </xf>
    <xf borderId="13" fillId="7" fontId="1" numFmtId="0" xfId="0" applyAlignment="1" applyBorder="1" applyFill="1" applyFont="1">
      <alignment vertical="center"/>
    </xf>
    <xf borderId="5" fillId="0" fontId="3" numFmtId="0" xfId="0" applyAlignment="1" applyBorder="1" applyFont="1">
      <alignment vertical="center"/>
    </xf>
    <xf borderId="13" fillId="8" fontId="1" numFmtId="0" xfId="0" applyAlignment="1" applyBorder="1" applyFill="1" applyFont="1">
      <alignment vertical="center"/>
    </xf>
    <xf borderId="14" fillId="9" fontId="1" numFmtId="0" xfId="0" applyAlignment="1" applyBorder="1" applyFill="1" applyFont="1">
      <alignment vertical="center"/>
    </xf>
    <xf borderId="6" fillId="0" fontId="3" numFmtId="2" xfId="0" applyAlignment="1" applyBorder="1" applyFont="1" applyNumberFormat="1">
      <alignment horizontal="left" vertical="center"/>
    </xf>
    <xf borderId="6" fillId="0" fontId="5" numFmtId="164" xfId="0" applyAlignment="1" applyBorder="1" applyFont="1" applyNumberFormat="1">
      <alignment horizontal="right" vertical="center"/>
    </xf>
    <xf borderId="6" fillId="0" fontId="5" numFmtId="1" xfId="0" applyAlignment="1" applyBorder="1" applyFont="1" applyNumberFormat="1">
      <alignment horizontal="left" vertical="center"/>
    </xf>
    <xf borderId="13" fillId="10" fontId="1" numFmtId="0" xfId="0" applyAlignment="1" applyBorder="1" applyFill="1" applyFont="1">
      <alignment vertical="center"/>
    </xf>
    <xf borderId="0" fillId="0" fontId="5" numFmtId="2" xfId="0" applyAlignment="1" applyFont="1" applyNumberFormat="1">
      <alignment horizontal="left" vertical="center"/>
    </xf>
    <xf borderId="4" fillId="0" fontId="3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4" fillId="0" fontId="5" numFmtId="9" xfId="0" applyAlignment="1" applyBorder="1" applyFont="1" applyNumberFormat="1">
      <alignment horizontal="left" vertical="center"/>
    </xf>
    <xf borderId="5" fillId="0" fontId="1" numFmtId="0" xfId="0" applyAlignment="1" applyBorder="1" applyFont="1">
      <alignment vertical="center"/>
    </xf>
    <xf borderId="5" fillId="0" fontId="5" numFmtId="9" xfId="0" applyAlignment="1" applyBorder="1" applyFont="1" applyNumberFormat="1">
      <alignment horizontal="left" vertical="center"/>
    </xf>
    <xf borderId="5" fillId="0" fontId="5" numFmtId="0" xfId="0" applyAlignment="1" applyBorder="1" applyFont="1">
      <alignment horizontal="left" vertical="center"/>
    </xf>
    <xf borderId="5" fillId="0" fontId="5" numFmtId="0" xfId="0" applyAlignment="1" applyBorder="1" applyFont="1">
      <alignment horizontal="right" vertical="center"/>
    </xf>
    <xf borderId="5" fillId="0" fontId="5" numFmtId="165" xfId="0" applyAlignment="1" applyBorder="1" applyFont="1" applyNumberFormat="1">
      <alignment horizontal="center" vertical="center"/>
    </xf>
    <xf borderId="0" fillId="0" fontId="12" numFmtId="0" xfId="0" applyAlignment="1" applyFont="1">
      <alignment horizontal="left" vertical="center"/>
    </xf>
    <xf borderId="0" fillId="0" fontId="0" numFmtId="0" xfId="0" applyAlignment="1" applyFont="1">
      <alignment vertical="center"/>
    </xf>
    <xf borderId="4" fillId="0" fontId="8" numFmtId="2" xfId="0" applyAlignment="1" applyBorder="1" applyFont="1" applyNumberFormat="1">
      <alignment horizontal="left" vertical="center"/>
    </xf>
    <xf borderId="4" fillId="0" fontId="0" numFmtId="0" xfId="0" applyAlignment="1" applyBorder="1" applyFont="1">
      <alignment vertical="center"/>
    </xf>
    <xf borderId="4" fillId="0" fontId="13" numFmtId="2" xfId="0" applyAlignment="1" applyBorder="1" applyFont="1" applyNumberFormat="1">
      <alignment horizontal="left" vertical="center"/>
    </xf>
    <xf borderId="4" fillId="0" fontId="8" numFmtId="164" xfId="0" applyAlignment="1" applyBorder="1" applyFont="1" applyNumberFormat="1">
      <alignment horizontal="right" vertical="center"/>
    </xf>
    <xf borderId="4" fillId="0" fontId="8" numFmtId="1" xfId="0" applyAlignment="1" applyBorder="1" applyFont="1" applyNumberFormat="1">
      <alignment horizontal="left" vertical="center"/>
    </xf>
    <xf borderId="5" fillId="0" fontId="13" numFmtId="2" xfId="0" applyAlignment="1" applyBorder="1" applyFont="1" applyNumberFormat="1">
      <alignment horizontal="left" vertical="center"/>
    </xf>
    <xf borderId="5" fillId="0" fontId="8" numFmtId="164" xfId="0" applyAlignment="1" applyBorder="1" applyFont="1" applyNumberFormat="1">
      <alignment horizontal="right" vertical="center"/>
    </xf>
    <xf borderId="5" fillId="0" fontId="8" numFmtId="1" xfId="0" applyAlignment="1" applyBorder="1" applyFont="1" applyNumberFormat="1">
      <alignment horizontal="left" vertical="center"/>
    </xf>
    <xf borderId="5" fillId="0" fontId="13" numFmtId="0" xfId="0" applyAlignment="1" applyBorder="1" applyFont="1">
      <alignment vertical="center"/>
    </xf>
    <xf borderId="5" fillId="0" fontId="8" numFmtId="164" xfId="0" applyAlignment="1" applyBorder="1" applyFont="1" applyNumberFormat="1">
      <alignment vertical="center"/>
    </xf>
    <xf borderId="14" fillId="10" fontId="1" numFmtId="0" xfId="0" applyAlignment="1" applyBorder="1" applyFont="1">
      <alignment vertical="center"/>
    </xf>
    <xf borderId="11" fillId="0" fontId="8" numFmtId="2" xfId="0" applyAlignment="1" applyBorder="1" applyFont="1" applyNumberFormat="1">
      <alignment horizontal="left" readingOrder="0" vertical="center"/>
    </xf>
    <xf borderId="4" fillId="0" fontId="13" numFmtId="0" xfId="0" applyAlignment="1" applyBorder="1" applyFont="1">
      <alignment vertical="center"/>
    </xf>
    <xf borderId="4" fillId="0" fontId="8" numFmtId="9" xfId="0" applyAlignment="1" applyBorder="1" applyFont="1" applyNumberFormat="1">
      <alignment horizontal="center" vertical="center"/>
    </xf>
    <xf borderId="5" fillId="0" fontId="0" numFmtId="0" xfId="0" applyAlignment="1" applyBorder="1" applyFont="1">
      <alignment vertical="center"/>
    </xf>
    <xf borderId="5" fillId="0" fontId="8" numFmtId="9" xfId="0" applyAlignment="1" applyBorder="1" applyFont="1" applyNumberFormat="1">
      <alignment horizontal="center" vertical="center"/>
    </xf>
    <xf borderId="5" fillId="0" fontId="8" numFmtId="0" xfId="0" applyAlignment="1" applyBorder="1" applyFont="1">
      <alignment horizontal="center" vertical="center"/>
    </xf>
    <xf borderId="1" fillId="3" fontId="8" numFmtId="0" xfId="0" applyAlignment="1" applyBorder="1" applyFont="1">
      <alignment horizontal="center" vertical="center"/>
    </xf>
    <xf borderId="9" fillId="4" fontId="3" numFmtId="0" xfId="0" applyAlignment="1" applyBorder="1" applyFont="1">
      <alignment shrinkToFit="0" vertical="center" wrapText="1"/>
    </xf>
    <xf borderId="9" fillId="4" fontId="5" numFmtId="2" xfId="0" applyAlignment="1" applyBorder="1" applyFont="1" applyNumberFormat="1">
      <alignment horizontal="right" vertical="center"/>
    </xf>
    <xf borderId="9" fillId="4" fontId="5" numFmtId="1" xfId="0" applyAlignment="1" applyBorder="1" applyFont="1" applyNumberFormat="1">
      <alignment horizontal="left" vertical="center"/>
    </xf>
    <xf borderId="9" fillId="4" fontId="1" numFmtId="0" xfId="0" applyAlignment="1" applyBorder="1" applyFont="1">
      <alignment vertical="center"/>
    </xf>
    <xf borderId="0" fillId="2" fontId="3" numFmtId="0" xfId="0" applyAlignment="1" applyFont="1">
      <alignment shrinkToFit="0" vertical="center" wrapText="1"/>
    </xf>
    <xf borderId="0" fillId="2" fontId="3" numFmtId="164" xfId="0" applyAlignment="1" applyFont="1" applyNumberFormat="1">
      <alignment horizontal="right" vertical="center"/>
    </xf>
    <xf borderId="0" fillId="2" fontId="3" numFmtId="164" xfId="0" applyAlignment="1" applyFont="1" applyNumberFormat="1">
      <alignment horizontal="left" vertical="center"/>
    </xf>
    <xf borderId="0" fillId="2" fontId="1" numFmtId="0" xfId="0" applyAlignment="1" applyFont="1">
      <alignment vertical="center"/>
    </xf>
    <xf borderId="0" fillId="11" fontId="3" numFmtId="0" xfId="0" applyAlignment="1" applyFill="1" applyFont="1">
      <alignment shrinkToFit="0" vertical="center" wrapText="1"/>
    </xf>
    <xf borderId="0" fillId="11" fontId="3" numFmtId="164" xfId="0" applyAlignment="1" applyFont="1" applyNumberFormat="1">
      <alignment horizontal="right" vertical="center"/>
    </xf>
    <xf borderId="0" fillId="11" fontId="3" numFmtId="0" xfId="0" applyAlignment="1" applyFont="1">
      <alignment horizontal="left" vertical="center"/>
    </xf>
    <xf borderId="0" fillId="11" fontId="1" numFmtId="0" xfId="0" applyAlignment="1" applyFont="1">
      <alignment vertical="center"/>
    </xf>
    <xf borderId="1" fillId="3" fontId="8" numFmtId="0" xfId="0" applyAlignment="1" applyBorder="1" applyFont="1">
      <alignment horizontal="center" shrinkToFit="0" vertical="center" wrapText="1"/>
    </xf>
    <xf borderId="2" fillId="2" fontId="2" numFmtId="0" xfId="0" applyBorder="1" applyFont="1"/>
    <xf borderId="3" fillId="2" fontId="2" numFmtId="0" xfId="0" applyBorder="1" applyFont="1"/>
    <xf borderId="4" fillId="0" fontId="8" numFmtId="2" xfId="0" applyAlignment="1" applyBorder="1" applyFont="1" applyNumberFormat="1">
      <alignment horizontal="left" readingOrder="0" vertical="center"/>
    </xf>
    <xf borderId="4" fillId="0" fontId="3" numFmtId="2" xfId="0" applyAlignment="1" applyBorder="1" applyFont="1" applyNumberFormat="1">
      <alignment vertical="center"/>
    </xf>
    <xf borderId="4" fillId="0" fontId="14" numFmtId="164" xfId="0" applyAlignment="1" applyBorder="1" applyFont="1" applyNumberFormat="1">
      <alignment horizontal="right" vertical="center"/>
    </xf>
    <xf borderId="4" fillId="0" fontId="14" numFmtId="1" xfId="0" applyAlignment="1" applyBorder="1" applyFont="1" applyNumberFormat="1">
      <alignment vertical="center"/>
    </xf>
    <xf borderId="5" fillId="0" fontId="3" numFmtId="0" xfId="0" applyAlignment="1" applyBorder="1" applyFont="1">
      <alignment vertical="center"/>
    </xf>
    <xf borderId="5" fillId="0" fontId="14" numFmtId="164" xfId="0" applyAlignment="1" applyBorder="1" applyFont="1" applyNumberFormat="1">
      <alignment horizontal="right" vertical="center"/>
    </xf>
    <xf borderId="5" fillId="0" fontId="14" numFmtId="1" xfId="0" applyAlignment="1" applyBorder="1" applyFont="1" applyNumberFormat="1">
      <alignment vertical="center"/>
    </xf>
    <xf borderId="5" fillId="0" fontId="3" numFmtId="2" xfId="0" applyAlignment="1" applyBorder="1" applyFont="1" applyNumberFormat="1">
      <alignment vertical="center"/>
    </xf>
    <xf borderId="5" fillId="0" fontId="14" numFmtId="164" xfId="0" applyAlignment="1" applyBorder="1" applyFont="1" applyNumberFormat="1">
      <alignment horizontal="right" vertical="center"/>
    </xf>
    <xf borderId="5" fillId="0" fontId="14" numFmtId="0" xfId="0" applyAlignment="1" applyBorder="1" applyFont="1">
      <alignment vertical="center"/>
    </xf>
    <xf borderId="13" fillId="9" fontId="1" numFmtId="0" xfId="0" applyAlignment="1" applyBorder="1" applyFont="1">
      <alignment vertical="center"/>
    </xf>
    <xf borderId="6" fillId="0" fontId="3" numFmtId="2" xfId="0" applyAlignment="1" applyBorder="1" applyFont="1" applyNumberFormat="1">
      <alignment vertical="center"/>
    </xf>
    <xf borderId="6" fillId="0" fontId="14" numFmtId="164" xfId="0" applyAlignment="1" applyBorder="1" applyFont="1" applyNumberFormat="1">
      <alignment horizontal="right" vertical="center"/>
    </xf>
    <xf borderId="6" fillId="0" fontId="14" numFmtId="1" xfId="0" applyAlignment="1" applyBorder="1" applyFont="1" applyNumberFormat="1">
      <alignment vertical="center"/>
    </xf>
    <xf borderId="4" fillId="0" fontId="15" numFmtId="0" xfId="0" applyAlignment="1" applyBorder="1" applyFont="1">
      <alignment vertical="center"/>
    </xf>
    <xf borderId="4" fillId="0" fontId="14" numFmtId="9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vertical="center"/>
    </xf>
    <xf borderId="5" fillId="0" fontId="15" numFmtId="0" xfId="0" applyAlignment="1" applyBorder="1" applyFont="1">
      <alignment vertical="center"/>
    </xf>
    <xf borderId="5" fillId="0" fontId="14" numFmtId="9" xfId="0" applyAlignment="1" applyBorder="1" applyFont="1" applyNumberFormat="1">
      <alignment horizontal="center" vertical="center"/>
    </xf>
    <xf borderId="15" fillId="0" fontId="3" numFmtId="0" xfId="0" applyAlignment="1" applyBorder="1" applyFont="1">
      <alignment shrinkToFit="0" vertical="center" wrapText="0"/>
    </xf>
    <xf borderId="16" fillId="0" fontId="3" numFmtId="0" xfId="0" applyAlignment="1" applyBorder="1" applyFont="1">
      <alignment shrinkToFit="0" vertical="center" wrapText="0"/>
    </xf>
    <xf borderId="6" fillId="0" fontId="15" numFmtId="0" xfId="0" applyAlignment="1" applyBorder="1" applyFont="1">
      <alignment vertical="center"/>
    </xf>
    <xf borderId="6" fillId="0" fontId="14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11" fillId="0" fontId="4" numFmtId="0" xfId="0" applyAlignment="1" applyBorder="1" applyFont="1">
      <alignment horizontal="center" vertical="center"/>
    </xf>
    <xf borderId="17" fillId="0" fontId="13" numFmtId="0" xfId="0" applyAlignment="1" applyBorder="1" applyFont="1">
      <alignment horizontal="left" vertical="center"/>
    </xf>
    <xf borderId="17" fillId="0" fontId="0" numFmtId="0" xfId="0" applyAlignment="1" applyBorder="1" applyFont="1">
      <alignment vertical="center"/>
    </xf>
    <xf borderId="17" fillId="0" fontId="8" numFmtId="0" xfId="0" applyAlignment="1" applyBorder="1" applyFont="1">
      <alignment horizontal="right" vertical="center"/>
    </xf>
    <xf borderId="17" fillId="0" fontId="2" numFmtId="0" xfId="0" applyBorder="1" applyFont="1"/>
    <xf borderId="5" fillId="0" fontId="13" numFmtId="0" xfId="0" applyAlignment="1" applyBorder="1" applyFont="1">
      <alignment horizontal="left" vertical="center"/>
    </xf>
    <xf borderId="5" fillId="0" fontId="8" numFmtId="0" xfId="0" applyAlignment="1" applyBorder="1" applyFont="1">
      <alignment horizontal="right" vertical="center"/>
    </xf>
    <xf borderId="5" fillId="0" fontId="8" numFmtId="2" xfId="0" applyAlignment="1" applyBorder="1" applyFont="1" applyNumberFormat="1">
      <alignment horizontal="right" vertical="center"/>
    </xf>
    <xf borderId="5" fillId="0" fontId="8" numFmtId="166" xfId="0" applyAlignment="1" applyBorder="1" applyFont="1" applyNumberFormat="1">
      <alignment horizontal="left" vertical="center"/>
    </xf>
    <xf borderId="0" fillId="0" fontId="16" numFmtId="0" xfId="0" applyAlignment="1" applyFont="1">
      <alignment horizontal="center" vertical="center"/>
    </xf>
    <xf borderId="1" fillId="2" fontId="4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18" fillId="3" fontId="5" numFmtId="0" xfId="0" applyAlignment="1" applyBorder="1" applyFont="1">
      <alignment horizontal="left" shrinkToFit="0" vertical="center" wrapText="1"/>
    </xf>
    <xf borderId="19" fillId="0" fontId="2" numFmtId="0" xfId="0" applyBorder="1" applyFont="1"/>
    <xf borderId="20" fillId="3" fontId="5" numFmtId="2" xfId="0" applyAlignment="1" applyBorder="1" applyFont="1" applyNumberFormat="1">
      <alignment horizontal="right" shrinkToFit="0" vertical="center" wrapText="1"/>
    </xf>
    <xf borderId="20" fillId="3" fontId="5" numFmtId="0" xfId="0" applyAlignment="1" applyBorder="1" applyFont="1">
      <alignment horizontal="left" shrinkToFit="0" vertical="center" wrapText="1"/>
    </xf>
    <xf borderId="21" fillId="4" fontId="3" numFmtId="0" xfId="0" applyAlignment="1" applyBorder="1" applyFont="1">
      <alignment vertical="center"/>
    </xf>
    <xf borderId="21" fillId="4" fontId="3" numFmtId="166" xfId="0" applyAlignment="1" applyBorder="1" applyFont="1" applyNumberFormat="1">
      <alignment vertical="center"/>
    </xf>
    <xf borderId="21" fillId="4" fontId="3" numFmtId="0" xfId="0" applyAlignment="1" applyBorder="1" applyFont="1">
      <alignment horizontal="left" vertical="center"/>
    </xf>
    <xf borderId="9" fillId="2" fontId="5" numFmtId="166" xfId="0" applyAlignment="1" applyBorder="1" applyFont="1" applyNumberFormat="1">
      <alignment horizontal="center" vertical="center"/>
    </xf>
    <xf borderId="20" fillId="3" fontId="5" numFmtId="166" xfId="0" applyAlignment="1" applyBorder="1" applyFont="1" applyNumberFormat="1">
      <alignment horizontal="left" shrinkToFit="0" vertical="center" wrapText="1"/>
    </xf>
    <xf borderId="9" fillId="4" fontId="3" numFmtId="0" xfId="0" applyAlignment="1" applyBorder="1" applyFont="1">
      <alignment vertical="center"/>
    </xf>
    <xf borderId="9" fillId="4" fontId="3" numFmtId="166" xfId="0" applyAlignment="1" applyBorder="1" applyFont="1" applyNumberFormat="1">
      <alignment vertical="center"/>
    </xf>
    <xf borderId="9" fillId="4" fontId="3" numFmtId="0" xfId="0" applyAlignment="1" applyBorder="1" applyFont="1">
      <alignment horizontal="left" vertical="center"/>
    </xf>
    <xf borderId="9" fillId="2" fontId="1" numFmtId="0" xfId="0" applyAlignment="1" applyBorder="1" applyFont="1">
      <alignment horizontal="left" vertical="center"/>
    </xf>
    <xf borderId="9" fillId="2" fontId="5" numFmtId="2" xfId="0" applyAlignment="1" applyBorder="1" applyFont="1" applyNumberFormat="1">
      <alignment horizontal="right" vertical="center"/>
    </xf>
    <xf borderId="12" fillId="2" fontId="1" numFmtId="0" xfId="0" applyAlignment="1" applyBorder="1" applyFont="1">
      <alignment horizontal="left" vertical="center"/>
    </xf>
    <xf borderId="12" fillId="2" fontId="5" numFmtId="2" xfId="0" applyAlignment="1" applyBorder="1" applyFont="1" applyNumberFormat="1">
      <alignment horizontal="right" vertical="center"/>
    </xf>
    <xf borderId="12" fillId="2" fontId="5" numFmtId="166" xfId="0" applyAlignment="1" applyBorder="1" applyFont="1" applyNumberFormat="1">
      <alignment horizontal="center" vertical="center"/>
    </xf>
    <xf borderId="0" fillId="0" fontId="17" numFmtId="0" xfId="0" applyAlignment="1" applyFont="1">
      <alignment vertical="center"/>
    </xf>
    <xf borderId="1" fillId="3" fontId="18" numFmtId="0" xfId="0" applyAlignment="1" applyBorder="1" applyFont="1">
      <alignment shrinkToFit="0" vertical="center" wrapText="1"/>
    </xf>
    <xf borderId="9" fillId="3" fontId="5" numFmtId="2" xfId="0" applyAlignment="1" applyBorder="1" applyFont="1" applyNumberFormat="1">
      <alignment horizontal="right" shrinkToFit="0" vertical="center" wrapText="1"/>
    </xf>
    <xf borderId="9" fillId="3" fontId="5" numFmtId="0" xfId="0" applyAlignment="1" applyBorder="1" applyFont="1">
      <alignment shrinkToFit="0" vertical="center" wrapText="1"/>
    </xf>
    <xf borderId="9" fillId="4" fontId="3" numFmtId="166" xfId="0" applyAlignment="1" applyBorder="1" applyFont="1" applyNumberFormat="1">
      <alignment horizontal="right" vertical="center"/>
    </xf>
    <xf borderId="0" fillId="0" fontId="19" numFmtId="0" xfId="0" applyAlignment="1" applyFont="1">
      <alignment horizontal="left" vertical="center"/>
    </xf>
    <xf borderId="0" fillId="0" fontId="5" numFmtId="2" xfId="0" applyAlignment="1" applyFont="1" applyNumberFormat="1">
      <alignment horizontal="right" vertical="center"/>
    </xf>
    <xf borderId="0" fillId="0" fontId="5" numFmtId="166" xfId="0" applyAlignment="1" applyFont="1" applyNumberFormat="1">
      <alignment horizontal="center" vertical="center"/>
    </xf>
    <xf borderId="9" fillId="3" fontId="5" numFmtId="1" xfId="0" applyAlignment="1" applyBorder="1" applyFont="1" applyNumberFormat="1">
      <alignment horizontal="right" shrinkToFit="0" vertical="center" wrapText="1"/>
    </xf>
    <xf borderId="9" fillId="3" fontId="5" numFmtId="164" xfId="0" applyAlignment="1" applyBorder="1" applyFont="1" applyNumberFormat="1">
      <alignment shrinkToFit="0" vertical="center" wrapText="1"/>
    </xf>
    <xf borderId="0" fillId="0" fontId="5" numFmtId="1" xfId="0" applyAlignment="1" applyFont="1" applyNumberFormat="1">
      <alignment horizontal="right" vertical="center"/>
    </xf>
    <xf borderId="9" fillId="3" fontId="5" numFmtId="164" xfId="0" applyAlignment="1" applyBorder="1" applyFont="1" applyNumberFormat="1">
      <alignment horizontal="right" shrinkToFit="0" vertical="center" wrapText="1"/>
    </xf>
    <xf borderId="0" fillId="0" fontId="5" numFmtId="164" xfId="0" applyAlignment="1" applyFont="1" applyNumberFormat="1">
      <alignment horizontal="right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D9D9D9"/>
          <bgColor rgb="FFD9D9D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30">
    <tableStyle count="3" pivot="0" name="Menu 1 - Duck-style">
      <tableStyleElement dxfId="1" type="headerRow"/>
      <tableStyleElement dxfId="2" type="firstRowStripe"/>
      <tableStyleElement dxfId="3" type="secondRowStripe"/>
    </tableStyle>
    <tableStyle count="3" pivot="0" name="Menu 1 - Duck-style 2">
      <tableStyleElement dxfId="1" type="headerRow"/>
      <tableStyleElement dxfId="2" type="firstRowStripe"/>
      <tableStyleElement dxfId="3" type="secondRowStripe"/>
    </tableStyle>
    <tableStyle count="3" pivot="0" name="Menu 1 - Duck-style 3">
      <tableStyleElement dxfId="1" type="headerRow"/>
      <tableStyleElement dxfId="2" type="firstRowStripe"/>
      <tableStyleElement dxfId="3" type="secondRowStripe"/>
    </tableStyle>
    <tableStyle count="3" pivot="0" name="Menu 1 - Duck-style 4">
      <tableStyleElement dxfId="1" type="headerRow"/>
      <tableStyleElement dxfId="2" type="firstRowStripe"/>
      <tableStyleElement dxfId="3" type="secondRowStripe"/>
    </tableStyle>
    <tableStyle count="3" pivot="0" name="Menu 1 - Duck-style 5">
      <tableStyleElement dxfId="1" type="headerRow"/>
      <tableStyleElement dxfId="2" type="firstRowStripe"/>
      <tableStyleElement dxfId="3" type="secondRowStripe"/>
    </tableStyle>
    <tableStyle count="3" pivot="0" name="Menu 1 - Duck-style 6">
      <tableStyleElement dxfId="1" type="headerRow"/>
      <tableStyleElement dxfId="2" type="firstRowStripe"/>
      <tableStyleElement dxfId="3" type="secondRowStripe"/>
    </tableStyle>
    <tableStyle count="3" pivot="0" name="Menu 1 - Duck-style 7">
      <tableStyleElement dxfId="1" type="headerRow"/>
      <tableStyleElement dxfId="2" type="firstRowStripe"/>
      <tableStyleElement dxfId="3" type="secondRowStripe"/>
    </tableStyle>
    <tableStyle count="3" pivot="0" name="Menu 1 - Duck-style 8">
      <tableStyleElement dxfId="1" type="headerRow"/>
      <tableStyleElement dxfId="2" type="firstRowStripe"/>
      <tableStyleElement dxfId="3" type="secondRowStripe"/>
    </tableStyle>
    <tableStyle count="3" pivot="0" name="Menu 1 - Duck-style 9">
      <tableStyleElement dxfId="1" type="headerRow"/>
      <tableStyleElement dxfId="2" type="firstRowStripe"/>
      <tableStyleElement dxfId="3" type="secondRowStripe"/>
    </tableStyle>
    <tableStyle count="3" pivot="0" name="Menu 1 - Duck-style 10">
      <tableStyleElement dxfId="1" type="headerRow"/>
      <tableStyleElement dxfId="2" type="firstRowStripe"/>
      <tableStyleElement dxfId="3" type="secondRowStripe"/>
    </tableStyle>
    <tableStyle count="3" pivot="0" name="Menu 2 - Beef-style">
      <tableStyleElement dxfId="1" type="headerRow"/>
      <tableStyleElement dxfId="2" type="firstRowStripe"/>
      <tableStyleElement dxfId="3" type="secondRowStripe"/>
    </tableStyle>
    <tableStyle count="3" pivot="0" name="Menu 2 - Beef-style 2">
      <tableStyleElement dxfId="1" type="headerRow"/>
      <tableStyleElement dxfId="2" type="firstRowStripe"/>
      <tableStyleElement dxfId="3" type="secondRowStripe"/>
    </tableStyle>
    <tableStyle count="3" pivot="0" name="Menu 2 - Beef-style 3">
      <tableStyleElement dxfId="1" type="headerRow"/>
      <tableStyleElement dxfId="2" type="firstRowStripe"/>
      <tableStyleElement dxfId="3" type="secondRowStripe"/>
    </tableStyle>
    <tableStyle count="3" pivot="0" name="Menu 2 - Beef-style 4">
      <tableStyleElement dxfId="1" type="headerRow"/>
      <tableStyleElement dxfId="2" type="firstRowStripe"/>
      <tableStyleElement dxfId="3" type="secondRowStripe"/>
    </tableStyle>
    <tableStyle count="3" pivot="0" name="Menu 2 - Beef-style 5">
      <tableStyleElement dxfId="1" type="headerRow"/>
      <tableStyleElement dxfId="2" type="firstRowStripe"/>
      <tableStyleElement dxfId="3" type="secondRowStripe"/>
    </tableStyle>
    <tableStyle count="3" pivot="0" name="Menu 2 - Beef-style 6">
      <tableStyleElement dxfId="1" type="headerRow"/>
      <tableStyleElement dxfId="2" type="firstRowStripe"/>
      <tableStyleElement dxfId="3" type="secondRowStripe"/>
    </tableStyle>
    <tableStyle count="3" pivot="0" name="Menu 2 - Beef-style 7">
      <tableStyleElement dxfId="1" type="headerRow"/>
      <tableStyleElement dxfId="2" type="firstRowStripe"/>
      <tableStyleElement dxfId="3" type="secondRowStripe"/>
    </tableStyle>
    <tableStyle count="3" pivot="0" name="Menu 2 - Beef-style 8">
      <tableStyleElement dxfId="1" type="headerRow"/>
      <tableStyleElement dxfId="2" type="firstRowStripe"/>
      <tableStyleElement dxfId="3" type="secondRowStripe"/>
    </tableStyle>
    <tableStyle count="3" pivot="0" name="Menu 2 - Beef-style 9">
      <tableStyleElement dxfId="1" type="headerRow"/>
      <tableStyleElement dxfId="2" type="firstRowStripe"/>
      <tableStyleElement dxfId="3" type="secondRowStripe"/>
    </tableStyle>
    <tableStyle count="3" pivot="0" name="Menu 2 - Beef-style 10">
      <tableStyleElement dxfId="1" type="headerRow"/>
      <tableStyleElement dxfId="2" type="firstRowStripe"/>
      <tableStyleElement dxfId="3" type="secondRowStripe"/>
    </tableStyle>
    <tableStyle count="3" pivot="0" name="Menu 3 - Lamb-style">
      <tableStyleElement dxfId="1" type="headerRow"/>
      <tableStyleElement dxfId="2" type="firstRowStripe"/>
      <tableStyleElement dxfId="3" type="secondRowStripe"/>
    </tableStyle>
    <tableStyle count="3" pivot="0" name="Menu 3 - Lamb-style 2">
      <tableStyleElement dxfId="1" type="headerRow"/>
      <tableStyleElement dxfId="2" type="firstRowStripe"/>
      <tableStyleElement dxfId="3" type="secondRowStripe"/>
    </tableStyle>
    <tableStyle count="3" pivot="0" name="Menu 3 - Lamb-style 3">
      <tableStyleElement dxfId="1" type="headerRow"/>
      <tableStyleElement dxfId="2" type="firstRowStripe"/>
      <tableStyleElement dxfId="3" type="secondRowStripe"/>
    </tableStyle>
    <tableStyle count="3" pivot="0" name="Menu 3 - Lamb-style 4">
      <tableStyleElement dxfId="1" type="headerRow"/>
      <tableStyleElement dxfId="2" type="firstRowStripe"/>
      <tableStyleElement dxfId="3" type="secondRowStripe"/>
    </tableStyle>
    <tableStyle count="3" pivot="0" name="Menu 3 - Lamb-style 5">
      <tableStyleElement dxfId="1" type="headerRow"/>
      <tableStyleElement dxfId="2" type="firstRowStripe"/>
      <tableStyleElement dxfId="3" type="secondRowStripe"/>
    </tableStyle>
    <tableStyle count="3" pivot="0" name="Menu 3 - Lamb-style 6">
      <tableStyleElement dxfId="1" type="headerRow"/>
      <tableStyleElement dxfId="2" type="firstRowStripe"/>
      <tableStyleElement dxfId="3" type="secondRowStripe"/>
    </tableStyle>
    <tableStyle count="3" pivot="0" name="Menu 3 - Lamb-style 7">
      <tableStyleElement dxfId="1" type="headerRow"/>
      <tableStyleElement dxfId="2" type="firstRowStripe"/>
      <tableStyleElement dxfId="3" type="secondRowStripe"/>
    </tableStyle>
    <tableStyle count="3" pivot="0" name="Menu 3 - Lamb-style 8">
      <tableStyleElement dxfId="1" type="headerRow"/>
      <tableStyleElement dxfId="2" type="firstRowStripe"/>
      <tableStyleElement dxfId="3" type="secondRowStripe"/>
    </tableStyle>
    <tableStyle count="3" pivot="0" name="Menu 3 - Lamb-style 9">
      <tableStyleElement dxfId="1" type="headerRow"/>
      <tableStyleElement dxfId="2" type="firstRowStripe"/>
      <tableStyleElement dxfId="3" type="secondRowStripe"/>
    </tableStyle>
    <tableStyle count="3" pivot="0" name="Menu 3 - Lamb-style 10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A61C00"/>
              </a:solidFill>
            </c:spPr>
          </c:dPt>
          <c:dPt>
            <c:idx val="1"/>
            <c:spPr>
              <a:solidFill>
                <a:srgbClr val="E69138"/>
              </a:solidFill>
            </c:spPr>
          </c:dPt>
          <c:dPt>
            <c:idx val="2"/>
            <c:spPr>
              <a:solidFill>
                <a:srgbClr val="F1C232"/>
              </a:solidFill>
            </c:spPr>
          </c:dPt>
          <c:dPt>
            <c:idx val="3"/>
            <c:spPr>
              <a:solidFill>
                <a:srgbClr val="38761D"/>
              </a:solidFill>
            </c:spPr>
          </c:dPt>
          <c:dPt>
            <c:idx val="4"/>
            <c:spPr>
              <a:solidFill>
                <a:srgbClr val="45818E"/>
              </a:solidFill>
            </c:spPr>
          </c:dPt>
          <c:dPt>
            <c:idx val="5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'Menu 1 - Duck'!$C$72:$C$77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  <c:spPr>
    <a:solidFill>
      <a:srgbClr val="FFFFFF">
        <a:alpha val="0"/>
      </a:srgbClr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A61C00"/>
              </a:solidFill>
            </c:spPr>
          </c:dPt>
          <c:dPt>
            <c:idx val="1"/>
            <c:spPr>
              <a:solidFill>
                <a:srgbClr val="E69138"/>
              </a:solidFill>
            </c:spPr>
          </c:dPt>
          <c:dPt>
            <c:idx val="2"/>
            <c:spPr>
              <a:solidFill>
                <a:srgbClr val="F1C232"/>
              </a:solidFill>
            </c:spPr>
          </c:dPt>
          <c:dPt>
            <c:idx val="3"/>
            <c:spPr>
              <a:solidFill>
                <a:srgbClr val="38761D"/>
              </a:solidFill>
            </c:spPr>
          </c:dPt>
          <c:dPt>
            <c:idx val="4"/>
            <c:spPr>
              <a:solidFill>
                <a:srgbClr val="45818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'Menu 1 - Duck'!$D$89:$D$93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  <c:spPr>
    <a:solidFill>
      <a:srgbClr val="FFFFFF">
        <a:alpha val="0"/>
      </a:srgbClr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A61C00"/>
              </a:solidFill>
            </c:spPr>
          </c:dPt>
          <c:dPt>
            <c:idx val="1"/>
            <c:spPr>
              <a:solidFill>
                <a:srgbClr val="E69138"/>
              </a:solidFill>
            </c:spPr>
          </c:dPt>
          <c:dPt>
            <c:idx val="2"/>
            <c:spPr>
              <a:solidFill>
                <a:srgbClr val="F1C232"/>
              </a:solidFill>
            </c:spPr>
          </c:dPt>
          <c:dPt>
            <c:idx val="3"/>
            <c:spPr>
              <a:solidFill>
                <a:srgbClr val="38761D"/>
              </a:solidFill>
            </c:spPr>
          </c:dPt>
          <c:dPt>
            <c:idx val="4"/>
            <c:spPr>
              <a:solidFill>
                <a:srgbClr val="45818E"/>
              </a:solidFill>
            </c:spPr>
          </c:dPt>
          <c:dPt>
            <c:idx val="5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'Menu 2 - Beef'!$C$72:$C$77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  <c:spPr>
    <a:solidFill>
      <a:srgbClr val="FFFFFF">
        <a:alpha val="0"/>
      </a:srgbClr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A61C00"/>
              </a:solidFill>
            </c:spPr>
          </c:dPt>
          <c:dPt>
            <c:idx val="1"/>
            <c:spPr>
              <a:solidFill>
                <a:srgbClr val="E69138"/>
              </a:solidFill>
            </c:spPr>
          </c:dPt>
          <c:dPt>
            <c:idx val="2"/>
            <c:spPr>
              <a:solidFill>
                <a:srgbClr val="F1C232"/>
              </a:solidFill>
            </c:spPr>
          </c:dPt>
          <c:dPt>
            <c:idx val="3"/>
            <c:spPr>
              <a:solidFill>
                <a:srgbClr val="38761D"/>
              </a:solidFill>
            </c:spPr>
          </c:dPt>
          <c:dPt>
            <c:idx val="4"/>
            <c:spPr>
              <a:solidFill>
                <a:srgbClr val="45818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'Menu 2 - Beef'!$D$89:$D$93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  <c:spPr>
    <a:solidFill>
      <a:srgbClr val="FFFFFF">
        <a:alpha val="0"/>
      </a:srgbClr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A61C00"/>
              </a:solidFill>
            </c:spPr>
          </c:dPt>
          <c:dPt>
            <c:idx val="1"/>
            <c:spPr>
              <a:solidFill>
                <a:srgbClr val="E69138"/>
              </a:solidFill>
            </c:spPr>
          </c:dPt>
          <c:dPt>
            <c:idx val="2"/>
            <c:spPr>
              <a:solidFill>
                <a:srgbClr val="F1C232"/>
              </a:solidFill>
            </c:spPr>
          </c:dPt>
          <c:dPt>
            <c:idx val="3"/>
            <c:spPr>
              <a:solidFill>
                <a:srgbClr val="38761D"/>
              </a:solidFill>
            </c:spPr>
          </c:dPt>
          <c:dPt>
            <c:idx val="4"/>
            <c:spPr>
              <a:solidFill>
                <a:srgbClr val="45818E"/>
              </a:solidFill>
            </c:spPr>
          </c:dPt>
          <c:dPt>
            <c:idx val="5"/>
          </c:dPt>
          <c:dPt>
            <c:idx val="6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'Menu 3 - Lamb'!$C$77:$C$83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  <c:spPr>
    <a:solidFill>
      <a:srgbClr val="FFFFFF">
        <a:alpha val="0"/>
      </a:srgbClr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A61C00"/>
              </a:solidFill>
            </c:spPr>
          </c:dPt>
          <c:dPt>
            <c:idx val="1"/>
            <c:spPr>
              <a:solidFill>
                <a:srgbClr val="E69138"/>
              </a:solidFill>
            </c:spPr>
          </c:dPt>
          <c:dPt>
            <c:idx val="2"/>
            <c:spPr>
              <a:solidFill>
                <a:srgbClr val="F1C232"/>
              </a:solidFill>
            </c:spPr>
          </c:dPt>
          <c:dPt>
            <c:idx val="3"/>
            <c:spPr>
              <a:solidFill>
                <a:srgbClr val="38761D"/>
              </a:solidFill>
            </c:spPr>
          </c:dPt>
          <c:dPt>
            <c:idx val="4"/>
            <c:spPr>
              <a:solidFill>
                <a:srgbClr val="45818E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'Menu 3 - Lamb'!$D$94:$D$98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plotVisOnly val="1"/>
  </c:chart>
  <c:spPr>
    <a:solidFill>
      <a:srgbClr val="FFFFFF">
        <a:alpha val="0"/>
      </a:srgbClr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62</xdr:row>
      <xdr:rowOff>47625</xdr:rowOff>
    </xdr:from>
    <xdr:ext cx="3267075" cy="1676400"/>
    <xdr:graphicFrame>
      <xdr:nvGraphicFramePr>
        <xdr:cNvPr id="1858647523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79</xdr:row>
      <xdr:rowOff>57150</xdr:rowOff>
    </xdr:from>
    <xdr:ext cx="3267075" cy="1628775"/>
    <xdr:graphicFrame>
      <xdr:nvGraphicFramePr>
        <xdr:cNvPr id="1332658780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142875</xdr:colOff>
      <xdr:row>0</xdr:row>
      <xdr:rowOff>0</xdr:rowOff>
    </xdr:from>
    <xdr:ext cx="1285875" cy="1314450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62</xdr:row>
      <xdr:rowOff>47625</xdr:rowOff>
    </xdr:from>
    <xdr:ext cx="3248025" cy="1628775"/>
    <xdr:graphicFrame>
      <xdr:nvGraphicFramePr>
        <xdr:cNvPr id="842304616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79</xdr:row>
      <xdr:rowOff>57150</xdr:rowOff>
    </xdr:from>
    <xdr:ext cx="3248025" cy="1628775"/>
    <xdr:graphicFrame>
      <xdr:nvGraphicFramePr>
        <xdr:cNvPr id="1524585292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142875</xdr:colOff>
      <xdr:row>0</xdr:row>
      <xdr:rowOff>0</xdr:rowOff>
    </xdr:from>
    <xdr:ext cx="1285875" cy="1314450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67</xdr:row>
      <xdr:rowOff>76200</xdr:rowOff>
    </xdr:from>
    <xdr:ext cx="3286125" cy="1628775"/>
    <xdr:graphicFrame>
      <xdr:nvGraphicFramePr>
        <xdr:cNvPr id="1000351017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84</xdr:row>
      <xdr:rowOff>76200</xdr:rowOff>
    </xdr:from>
    <xdr:ext cx="3286125" cy="1628775"/>
    <xdr:graphicFrame>
      <xdr:nvGraphicFramePr>
        <xdr:cNvPr id="1617247581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142875</xdr:colOff>
      <xdr:row>0</xdr:row>
      <xdr:rowOff>0</xdr:rowOff>
    </xdr:from>
    <xdr:ext cx="1285875" cy="1314450"/>
    <xdr:pic>
      <xdr:nvPicPr>
        <xdr:cNvPr id="0" name="image1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142875</xdr:colOff>
      <xdr:row>0</xdr:row>
      <xdr:rowOff>0</xdr:rowOff>
    </xdr:from>
    <xdr:ext cx="1285875" cy="1314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43:D45" displayName="Table_1" id="1">
  <tableColumns count="4">
    <tableColumn name="Column1" id="1"/>
    <tableColumn name="Column2" id="2"/>
    <tableColumn name="Column3" id="3"/>
    <tableColumn name="Column4" id="4"/>
  </tableColumns>
  <tableStyleInfo name="Menu 1 - Duck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A58:D60" displayName="Table_10" id="10">
  <tableColumns count="4">
    <tableColumn name="Column1" id="1"/>
    <tableColumn name="Column2" id="2"/>
    <tableColumn name="Column3" id="3"/>
    <tableColumn name="Column4" id="4"/>
  </tableColumns>
  <tableStyleInfo name="Menu 1 - Duck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A58:D60" displayName="Table_11" id="11">
  <tableColumns count="4">
    <tableColumn name="Column1" id="1"/>
    <tableColumn name="Column2" id="2"/>
    <tableColumn name="Column3" id="3"/>
    <tableColumn name="Column4" id="4"/>
  </tableColumns>
  <tableStyleInfo name="Menu 2 - Beef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2.xml><?xml version="1.0" encoding="utf-8"?>
<table xmlns="http://schemas.openxmlformats.org/spreadsheetml/2006/main" headerRowCount="0" ref="A53:D55" displayName="Table_12" id="12">
  <tableColumns count="4">
    <tableColumn name="Column1" id="1"/>
    <tableColumn name="Column2" id="2"/>
    <tableColumn name="Column3" id="3"/>
    <tableColumn name="Column4" id="4"/>
  </tableColumns>
  <tableStyleInfo name="Menu 2 - Beef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3.xml><?xml version="1.0" encoding="utf-8"?>
<table xmlns="http://schemas.openxmlformats.org/spreadsheetml/2006/main" headerRowCount="0" ref="A38:D40" displayName="Table_13" id="13">
  <tableColumns count="4">
    <tableColumn name="Column1" id="1"/>
    <tableColumn name="Column2" id="2"/>
    <tableColumn name="Column3" id="3"/>
    <tableColumn name="Column4" id="4"/>
  </tableColumns>
  <tableStyleInfo name="Menu 2 - Beef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4.xml><?xml version="1.0" encoding="utf-8"?>
<table xmlns="http://schemas.openxmlformats.org/spreadsheetml/2006/main" headerRowCount="0" ref="A33:D35" displayName="Table_14" id="14">
  <tableColumns count="4">
    <tableColumn name="Column1" id="1"/>
    <tableColumn name="Column2" id="2"/>
    <tableColumn name="Column3" id="3"/>
    <tableColumn name="Column4" id="4"/>
  </tableColumns>
  <tableStyleInfo name="Menu 2 - Beef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5.xml><?xml version="1.0" encoding="utf-8"?>
<table xmlns="http://schemas.openxmlformats.org/spreadsheetml/2006/main" headerRowCount="0" ref="A43:D45" displayName="Table_15" id="15">
  <tableColumns count="4">
    <tableColumn name="Column1" id="1"/>
    <tableColumn name="Column2" id="2"/>
    <tableColumn name="Column3" id="3"/>
    <tableColumn name="Column4" id="4"/>
  </tableColumns>
  <tableStyleInfo name="Menu 2 - Beef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6.xml><?xml version="1.0" encoding="utf-8"?>
<table xmlns="http://schemas.openxmlformats.org/spreadsheetml/2006/main" headerRowCount="0" ref="A18:D20" displayName="Table_16" id="16">
  <tableColumns count="4">
    <tableColumn name="Column1" id="1"/>
    <tableColumn name="Column2" id="2"/>
    <tableColumn name="Column3" id="3"/>
    <tableColumn name="Column4" id="4"/>
  </tableColumns>
  <tableStyleInfo name="Menu 2 - Beef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7.xml><?xml version="1.0" encoding="utf-8"?>
<table xmlns="http://schemas.openxmlformats.org/spreadsheetml/2006/main" headerRowCount="0" ref="A13:D15" displayName="Table_17" id="17">
  <tableColumns count="4">
    <tableColumn name="Column1" id="1"/>
    <tableColumn name="Column2" id="2"/>
    <tableColumn name="Column3" id="3"/>
    <tableColumn name="Column4" id="4"/>
  </tableColumns>
  <tableStyleInfo name="Menu 2 - Beef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8.xml><?xml version="1.0" encoding="utf-8"?>
<table xmlns="http://schemas.openxmlformats.org/spreadsheetml/2006/main" headerRowCount="0" ref="A28:D30" displayName="Table_18" id="18">
  <tableColumns count="4">
    <tableColumn name="Column1" id="1"/>
    <tableColumn name="Column2" id="2"/>
    <tableColumn name="Column3" id="3"/>
    <tableColumn name="Column4" id="4"/>
  </tableColumns>
  <tableStyleInfo name="Menu 2 - Beef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9.xml><?xml version="1.0" encoding="utf-8"?>
<table xmlns="http://schemas.openxmlformats.org/spreadsheetml/2006/main" headerRowCount="0" ref="A23:D25" displayName="Table_19" id="19">
  <tableColumns count="4">
    <tableColumn name="Column1" id="1"/>
    <tableColumn name="Column2" id="2"/>
    <tableColumn name="Column3" id="3"/>
    <tableColumn name="Column4" id="4"/>
  </tableColumns>
  <tableStyleInfo name="Menu 2 - Beef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38:D40" displayName="Table_2" id="2">
  <tableColumns count="4">
    <tableColumn name="Column1" id="1"/>
    <tableColumn name="Column2" id="2"/>
    <tableColumn name="Column3" id="3"/>
    <tableColumn name="Column4" id="4"/>
  </tableColumns>
  <tableStyleInfo name="Menu 1 - Duck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0.xml><?xml version="1.0" encoding="utf-8"?>
<table xmlns="http://schemas.openxmlformats.org/spreadsheetml/2006/main" headerRowCount="0" ref="A48:D50" displayName="Table_20" id="20">
  <tableColumns count="4">
    <tableColumn name="Column1" id="1"/>
    <tableColumn name="Column2" id="2"/>
    <tableColumn name="Column3" id="3"/>
    <tableColumn name="Column4" id="4"/>
  </tableColumns>
  <tableStyleInfo name="Menu 2 - Beef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1.xml><?xml version="1.0" encoding="utf-8"?>
<table xmlns="http://schemas.openxmlformats.org/spreadsheetml/2006/main" headerRowCount="0" ref="A33:D35" displayName="Table_21" id="21">
  <tableColumns count="4">
    <tableColumn name="Column1" id="1"/>
    <tableColumn name="Column2" id="2"/>
    <tableColumn name="Column3" id="3"/>
    <tableColumn name="Column4" id="4"/>
  </tableColumns>
  <tableStyleInfo name="Menu 3 - Lamb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2.xml><?xml version="1.0" encoding="utf-8"?>
<table xmlns="http://schemas.openxmlformats.org/spreadsheetml/2006/main" headerRowCount="0" ref="A28:D30" displayName="Table_22" id="22">
  <tableColumns count="4">
    <tableColumn name="Column1" id="1"/>
    <tableColumn name="Column2" id="2"/>
    <tableColumn name="Column3" id="3"/>
    <tableColumn name="Column4" id="4"/>
  </tableColumns>
  <tableStyleInfo name="Menu 3 - Lamb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3.xml><?xml version="1.0" encoding="utf-8"?>
<table xmlns="http://schemas.openxmlformats.org/spreadsheetml/2006/main" headerRowCount="0" ref="A63:D65" displayName="Table_23" id="23">
  <tableColumns count="4">
    <tableColumn name="Column1" id="1"/>
    <tableColumn name="Column2" id="2"/>
    <tableColumn name="Column3" id="3"/>
    <tableColumn name="Column4" id="4"/>
  </tableColumns>
  <tableStyleInfo name="Menu 3 - Lamb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4.xml><?xml version="1.0" encoding="utf-8"?>
<table xmlns="http://schemas.openxmlformats.org/spreadsheetml/2006/main" headerRowCount="0" ref="A18:D20" displayName="Table_24" id="24">
  <tableColumns count="4">
    <tableColumn name="Column1" id="1"/>
    <tableColumn name="Column2" id="2"/>
    <tableColumn name="Column3" id="3"/>
    <tableColumn name="Column4" id="4"/>
  </tableColumns>
  <tableStyleInfo name="Menu 3 - Lamb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5.xml><?xml version="1.0" encoding="utf-8"?>
<table xmlns="http://schemas.openxmlformats.org/spreadsheetml/2006/main" headerRowCount="0" ref="A13:D15" displayName="Table_25" id="25">
  <tableColumns count="4">
    <tableColumn name="Column1" id="1"/>
    <tableColumn name="Column2" id="2"/>
    <tableColumn name="Column3" id="3"/>
    <tableColumn name="Column4" id="4"/>
  </tableColumns>
  <tableStyleInfo name="Menu 3 - Lamb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6.xml><?xml version="1.0" encoding="utf-8"?>
<table xmlns="http://schemas.openxmlformats.org/spreadsheetml/2006/main" headerRowCount="0" ref="A53:D55" displayName="Table_26" id="26">
  <tableColumns count="4">
    <tableColumn name="Column1" id="1"/>
    <tableColumn name="Column2" id="2"/>
    <tableColumn name="Column3" id="3"/>
    <tableColumn name="Column4" id="4"/>
  </tableColumns>
  <tableStyleInfo name="Menu 3 - Lamb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7.xml><?xml version="1.0" encoding="utf-8"?>
<table xmlns="http://schemas.openxmlformats.org/spreadsheetml/2006/main" headerRowCount="0" ref="A23:D25" displayName="Table_27" id="27">
  <tableColumns count="4">
    <tableColumn name="Column1" id="1"/>
    <tableColumn name="Column2" id="2"/>
    <tableColumn name="Column3" id="3"/>
    <tableColumn name="Column4" id="4"/>
  </tableColumns>
  <tableStyleInfo name="Menu 3 - Lamb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8.xml><?xml version="1.0" encoding="utf-8"?>
<table xmlns="http://schemas.openxmlformats.org/spreadsheetml/2006/main" headerRowCount="0" ref="A43:D45" displayName="Table_28" id="28">
  <tableColumns count="4">
    <tableColumn name="Column1" id="1"/>
    <tableColumn name="Column2" id="2"/>
    <tableColumn name="Column3" id="3"/>
    <tableColumn name="Column4" id="4"/>
  </tableColumns>
  <tableStyleInfo name="Menu 3 - Lamb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9.xml><?xml version="1.0" encoding="utf-8"?>
<table xmlns="http://schemas.openxmlformats.org/spreadsheetml/2006/main" headerRowCount="0" ref="A48:D50" displayName="Table_29" id="29">
  <tableColumns count="4">
    <tableColumn name="Column1" id="1"/>
    <tableColumn name="Column2" id="2"/>
    <tableColumn name="Column3" id="3"/>
    <tableColumn name="Column4" id="4"/>
  </tableColumns>
  <tableStyleInfo name="Menu 3 - Lamb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33:D35" displayName="Table_3" id="3">
  <tableColumns count="4">
    <tableColumn name="Column1" id="1"/>
    <tableColumn name="Column2" id="2"/>
    <tableColumn name="Column3" id="3"/>
    <tableColumn name="Column4" id="4"/>
  </tableColumns>
  <tableStyleInfo name="Menu 1 - Duck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0.xml><?xml version="1.0" encoding="utf-8"?>
<table xmlns="http://schemas.openxmlformats.org/spreadsheetml/2006/main" headerRowCount="0" ref="A38:D40" displayName="Table_30" id="30">
  <tableColumns count="4">
    <tableColumn name="Column1" id="1"/>
    <tableColumn name="Column2" id="2"/>
    <tableColumn name="Column3" id="3"/>
    <tableColumn name="Column4" id="4"/>
  </tableColumns>
  <tableStyleInfo name="Menu 3 - Lamb-style 10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A23:D25" displayName="Table_4" id="4">
  <tableColumns count="4">
    <tableColumn name="Column1" id="1"/>
    <tableColumn name="Column2" id="2"/>
    <tableColumn name="Column3" id="3"/>
    <tableColumn name="Column4" id="4"/>
  </tableColumns>
  <tableStyleInfo name="Menu 1 - Duck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headerRowCount="0" ref="A53:D55" displayName="Table_5" id="5">
  <tableColumns count="4">
    <tableColumn name="Column1" id="1"/>
    <tableColumn name="Column2" id="2"/>
    <tableColumn name="Column3" id="3"/>
    <tableColumn name="Column4" id="4"/>
  </tableColumns>
  <tableStyleInfo name="Menu 1 - Duck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headerRowCount="0" ref="A48:D50" displayName="Table_6" id="6">
  <tableColumns count="4">
    <tableColumn name="Column1" id="1"/>
    <tableColumn name="Column2" id="2"/>
    <tableColumn name="Column3" id="3"/>
    <tableColumn name="Column4" id="4"/>
  </tableColumns>
  <tableStyleInfo name="Menu 1 - Duck-style 6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headerRowCount="0" ref="A13:D15" displayName="Table_7" id="7">
  <tableColumns count="4">
    <tableColumn name="Column1" id="1"/>
    <tableColumn name="Column2" id="2"/>
    <tableColumn name="Column3" id="3"/>
    <tableColumn name="Column4" id="4"/>
  </tableColumns>
  <tableStyleInfo name="Menu 1 - Duck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A28:D30" displayName="Table_8" id="8">
  <tableColumns count="4">
    <tableColumn name="Column1" id="1"/>
    <tableColumn name="Column2" id="2"/>
    <tableColumn name="Column3" id="3"/>
    <tableColumn name="Column4" id="4"/>
  </tableColumns>
  <tableStyleInfo name="Menu 1 - Duck-style 8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headerRowCount="0" ref="A18:D20" displayName="Table_9" id="9">
  <tableColumns count="4">
    <tableColumn name="Column1" id="1"/>
    <tableColumn name="Column2" id="2"/>
    <tableColumn name="Column3" id="3"/>
    <tableColumn name="Column4" id="4"/>
  </tableColumns>
  <tableStyleInfo name="Menu 1 - Duck-style 9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20" Type="http://schemas.openxmlformats.org/officeDocument/2006/relationships/table" Target="../tables/table9.xml"/><Relationship Id="rId21" Type="http://schemas.openxmlformats.org/officeDocument/2006/relationships/table" Target="../tables/table10.xml"/><Relationship Id="rId13" Type="http://schemas.openxmlformats.org/officeDocument/2006/relationships/table" Target="../tables/table2.xml"/><Relationship Id="rId12" Type="http://schemas.openxmlformats.org/officeDocument/2006/relationships/table" Target="../tables/table1.xml"/><Relationship Id="rId15" Type="http://schemas.openxmlformats.org/officeDocument/2006/relationships/table" Target="../tables/table4.xml"/><Relationship Id="rId14" Type="http://schemas.openxmlformats.org/officeDocument/2006/relationships/table" Target="../tables/table3.xml"/><Relationship Id="rId17" Type="http://schemas.openxmlformats.org/officeDocument/2006/relationships/table" Target="../tables/table6.xml"/><Relationship Id="rId16" Type="http://schemas.openxmlformats.org/officeDocument/2006/relationships/table" Target="../tables/table5.xml"/><Relationship Id="rId19" Type="http://schemas.openxmlformats.org/officeDocument/2006/relationships/table" Target="../tables/table8.xml"/><Relationship Id="rId18" Type="http://schemas.openxmlformats.org/officeDocument/2006/relationships/table" Target="../tables/table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20" Type="http://schemas.openxmlformats.org/officeDocument/2006/relationships/table" Target="../tables/table19.xml"/><Relationship Id="rId21" Type="http://schemas.openxmlformats.org/officeDocument/2006/relationships/table" Target="../tables/table20.xml"/><Relationship Id="rId13" Type="http://schemas.openxmlformats.org/officeDocument/2006/relationships/table" Target="../tables/table12.xml"/><Relationship Id="rId12" Type="http://schemas.openxmlformats.org/officeDocument/2006/relationships/table" Target="../tables/table11.xml"/><Relationship Id="rId15" Type="http://schemas.openxmlformats.org/officeDocument/2006/relationships/table" Target="../tables/table14.xml"/><Relationship Id="rId14" Type="http://schemas.openxmlformats.org/officeDocument/2006/relationships/table" Target="../tables/table13.xml"/><Relationship Id="rId17" Type="http://schemas.openxmlformats.org/officeDocument/2006/relationships/table" Target="../tables/table16.xml"/><Relationship Id="rId16" Type="http://schemas.openxmlformats.org/officeDocument/2006/relationships/table" Target="../tables/table15.xml"/><Relationship Id="rId19" Type="http://schemas.openxmlformats.org/officeDocument/2006/relationships/table" Target="../tables/table18.xml"/><Relationship Id="rId18" Type="http://schemas.openxmlformats.org/officeDocument/2006/relationships/table" Target="../tables/table17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20" Type="http://schemas.openxmlformats.org/officeDocument/2006/relationships/table" Target="../tables/table29.xml"/><Relationship Id="rId21" Type="http://schemas.openxmlformats.org/officeDocument/2006/relationships/table" Target="../tables/table30.xml"/><Relationship Id="rId13" Type="http://schemas.openxmlformats.org/officeDocument/2006/relationships/table" Target="../tables/table22.xml"/><Relationship Id="rId12" Type="http://schemas.openxmlformats.org/officeDocument/2006/relationships/table" Target="../tables/table21.xml"/><Relationship Id="rId15" Type="http://schemas.openxmlformats.org/officeDocument/2006/relationships/table" Target="../tables/table24.xml"/><Relationship Id="rId14" Type="http://schemas.openxmlformats.org/officeDocument/2006/relationships/table" Target="../tables/table23.xml"/><Relationship Id="rId17" Type="http://schemas.openxmlformats.org/officeDocument/2006/relationships/table" Target="../tables/table26.xml"/><Relationship Id="rId16" Type="http://schemas.openxmlformats.org/officeDocument/2006/relationships/table" Target="../tables/table25.xml"/><Relationship Id="rId19" Type="http://schemas.openxmlformats.org/officeDocument/2006/relationships/table" Target="../tables/table28.xml"/><Relationship Id="rId18" Type="http://schemas.openxmlformats.org/officeDocument/2006/relationships/table" Target="../tables/table27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mazon.com/Manitoba-Harvest-Organic-Pressed-Serving/dp/B0016B4080/" TargetMode="External"/><Relationship Id="rId2" Type="http://schemas.openxmlformats.org/officeDocument/2006/relationships/hyperlink" Target="https://www.amazon.com/Barleans-Fresh-Organic-Flax-16-oz/dp/B002VLZ830/ref=sr_1_3?dchild=1&amp;keywords=barleans+flax&amp;qid=1614962561&amp;sr=8-3" TargetMode="External"/><Relationship Id="rId3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4" width="12.29"/>
  </cols>
  <sheetData>
    <row r="1" ht="93.75" customHeight="1">
      <c r="A1" s="1"/>
      <c r="B1" s="2"/>
      <c r="C1" s="2"/>
      <c r="D1" s="3"/>
    </row>
    <row r="2" ht="18.75" customHeight="1">
      <c r="A2" s="4"/>
      <c r="B2" s="4"/>
      <c r="C2" s="5"/>
      <c r="D2" s="5"/>
    </row>
    <row r="3" ht="18.75" customHeight="1">
      <c r="A3" s="6" t="s">
        <v>0</v>
      </c>
      <c r="B3" s="7"/>
      <c r="C3" s="8" t="str">
        <f>'Shopping List'!A13</f>
        <v>Duck Grind</v>
      </c>
      <c r="D3" s="7"/>
    </row>
    <row r="4" ht="18.75" customHeight="1">
      <c r="A4" s="9" t="s">
        <v>1</v>
      </c>
      <c r="B4" s="10"/>
      <c r="C4" s="11" t="s">
        <v>2</v>
      </c>
      <c r="D4" s="12"/>
    </row>
    <row r="5" ht="18.75" customHeight="1">
      <c r="A5" s="13" t="s">
        <v>3</v>
      </c>
      <c r="B5" s="10"/>
      <c r="C5" s="14"/>
      <c r="D5" s="15" t="s">
        <v>4</v>
      </c>
    </row>
    <row r="6" ht="18.75" customHeight="1">
      <c r="A6" s="13" t="s">
        <v>5</v>
      </c>
      <c r="B6" s="10"/>
      <c r="C6" s="16"/>
      <c r="D6" s="17"/>
    </row>
    <row r="7" ht="18.75" customHeight="1">
      <c r="A7" s="13" t="s">
        <v>6</v>
      </c>
      <c r="B7" s="10"/>
      <c r="C7" s="18">
        <f>IF(D5="LB",SUM(C5*C6)*16,SUM(C5*C6)*1000)</f>
        <v>0</v>
      </c>
      <c r="D7" s="19" t="str">
        <f>IF(D5="LB","OZ","G")</f>
        <v>OZ</v>
      </c>
    </row>
    <row r="8" ht="18.75" customHeight="1">
      <c r="A8" s="13" t="s">
        <v>7</v>
      </c>
      <c r="B8" s="10"/>
      <c r="C8" s="20" t="str">
        <f t="shared" ref="C8:C9" si="1">SUM(B14+B19+B24+B29+B34+B39+B44+B49+B54+B59)</f>
        <v>#VALUE!</v>
      </c>
      <c r="D8" s="21" t="s">
        <v>8</v>
      </c>
    </row>
    <row r="9" ht="18.75" customHeight="1">
      <c r="A9" s="22" t="s">
        <v>9</v>
      </c>
      <c r="B9" s="7"/>
      <c r="C9" s="23">
        <f t="shared" si="1"/>
        <v>0</v>
      </c>
      <c r="D9" s="19" t="s">
        <v>10</v>
      </c>
    </row>
    <row r="10" ht="18.75" customHeight="1">
      <c r="A10" s="24"/>
      <c r="B10" s="24"/>
      <c r="C10" s="25"/>
      <c r="D10" s="24"/>
    </row>
    <row r="11" ht="18.75" customHeight="1">
      <c r="A11" s="26" t="str">
        <f>'Shopping List'!A13</f>
        <v>Duck Grind</v>
      </c>
      <c r="B11" s="2"/>
      <c r="C11" s="2"/>
      <c r="D11" s="3"/>
    </row>
    <row r="12" ht="18.75" customHeight="1">
      <c r="A12" s="27" t="s">
        <v>11</v>
      </c>
      <c r="B12" s="2"/>
      <c r="C12" s="2"/>
      <c r="D12" s="3"/>
    </row>
    <row r="13" ht="18.75" customHeight="1">
      <c r="A13" s="28"/>
      <c r="B13" s="29">
        <f>SUM(B14/28.35)</f>
        <v>0</v>
      </c>
      <c r="C13" s="30" t="str">
        <f t="shared" ref="C13:C15" si="2">D7</f>
        <v>OZ</v>
      </c>
      <c r="D13" s="31"/>
    </row>
    <row r="14" ht="18.75" customHeight="1">
      <c r="A14" s="32"/>
      <c r="B14" s="33">
        <f>SUM(342)*(C7/22.96)</f>
        <v>0</v>
      </c>
      <c r="C14" s="34" t="str">
        <f t="shared" si="2"/>
        <v>G</v>
      </c>
      <c r="D14" s="35"/>
    </row>
    <row r="15" ht="18.75" customHeight="1">
      <c r="A15" s="32"/>
      <c r="B15" s="33">
        <f>SUM((D94/1000)*B14)</f>
        <v>0</v>
      </c>
      <c r="C15" s="36" t="str">
        <f t="shared" si="2"/>
        <v>KCAL</v>
      </c>
      <c r="D15" s="35"/>
    </row>
    <row r="16" ht="18.75" customHeight="1">
      <c r="A16" s="26" t="str">
        <f>'Shopping List'!A22</f>
        <v>Green Tripe, whole or ground</v>
      </c>
      <c r="B16" s="2"/>
      <c r="C16" s="2"/>
      <c r="D16" s="3"/>
    </row>
    <row r="17" ht="18.75" customHeight="1">
      <c r="A17" s="27" t="s">
        <v>12</v>
      </c>
      <c r="B17" s="2"/>
      <c r="C17" s="2"/>
      <c r="D17" s="3"/>
    </row>
    <row r="18" ht="18.75" customHeight="1">
      <c r="A18" s="37"/>
      <c r="B18" s="29">
        <f>SUM(B19/28.35)</f>
        <v>0</v>
      </c>
      <c r="C18" s="38" t="str">
        <f t="shared" ref="C18:C20" si="3">D7</f>
        <v>OZ</v>
      </c>
      <c r="D18" s="31"/>
    </row>
    <row r="19" ht="18.75" customHeight="1">
      <c r="A19" s="39"/>
      <c r="B19" s="33">
        <f>SUM(95)*(C7/22.95)</f>
        <v>0</v>
      </c>
      <c r="C19" s="34" t="str">
        <f t="shared" si="3"/>
        <v>G</v>
      </c>
      <c r="D19" s="35"/>
    </row>
    <row r="20" ht="18.75" customHeight="1">
      <c r="A20" s="39"/>
      <c r="B20" s="33">
        <f>SUM(B19*2.25)</f>
        <v>0</v>
      </c>
      <c r="C20" s="40" t="str">
        <f t="shared" si="3"/>
        <v>KCAL</v>
      </c>
      <c r="D20" s="35"/>
    </row>
    <row r="21" ht="18.75" customHeight="1">
      <c r="A21" s="26" t="str">
        <f>'Shopping List'!A25</f>
        <v>Beef Heart</v>
      </c>
      <c r="B21" s="2"/>
      <c r="C21" s="2"/>
      <c r="D21" s="3"/>
    </row>
    <row r="22" ht="18.75" customHeight="1">
      <c r="A22" s="27" t="s">
        <v>12</v>
      </c>
      <c r="B22" s="2"/>
      <c r="C22" s="2"/>
      <c r="D22" s="3"/>
    </row>
    <row r="23" ht="18.75" customHeight="1">
      <c r="A23" s="37"/>
      <c r="B23" s="29">
        <f>SUM(B24/28.35)</f>
        <v>0</v>
      </c>
      <c r="C23" s="38" t="str">
        <f t="shared" ref="C23:C25" si="4">D7</f>
        <v>OZ</v>
      </c>
      <c r="D23" s="31"/>
    </row>
    <row r="24" ht="18.75" customHeight="1">
      <c r="A24" s="39"/>
      <c r="B24" s="33">
        <f>SUM(56)*(C7/22.95)</f>
        <v>0</v>
      </c>
      <c r="C24" s="34" t="str">
        <f t="shared" si="4"/>
        <v>G</v>
      </c>
      <c r="D24" s="35"/>
    </row>
    <row r="25" ht="18.75" customHeight="1">
      <c r="A25" s="39"/>
      <c r="B25" s="33">
        <f>B24*1.12</f>
        <v>0</v>
      </c>
      <c r="C25" s="40" t="str">
        <f t="shared" si="4"/>
        <v>KCAL</v>
      </c>
      <c r="D25" s="35"/>
    </row>
    <row r="26" ht="18.75" customHeight="1">
      <c r="A26" s="26" t="str">
        <f>'Shopping List'!A34</f>
        <v>Monster Mash</v>
      </c>
      <c r="B26" s="2"/>
      <c r="C26" s="2"/>
      <c r="D26" s="3"/>
    </row>
    <row r="27" ht="18.75" customHeight="1">
      <c r="A27" s="27" t="s">
        <v>13</v>
      </c>
      <c r="B27" s="2"/>
      <c r="C27" s="2"/>
      <c r="D27" s="3"/>
    </row>
    <row r="28" ht="18.75" customHeight="1">
      <c r="A28" s="37"/>
      <c r="B28" s="29">
        <f>SUM(B29/28.35)</f>
        <v>0</v>
      </c>
      <c r="C28" s="38" t="str">
        <f t="shared" ref="C28:C30" si="5">D7</f>
        <v>OZ</v>
      </c>
      <c r="D28" s="31"/>
    </row>
    <row r="29" ht="18.75" customHeight="1">
      <c r="A29" s="39"/>
      <c r="B29" s="33">
        <f>SUM(52)*(C7/22.95)</f>
        <v>0</v>
      </c>
      <c r="C29" s="34" t="str">
        <f t="shared" si="5"/>
        <v>G</v>
      </c>
      <c r="D29" s="35"/>
    </row>
    <row r="30" ht="18.75" customHeight="1">
      <c r="A30" s="39"/>
      <c r="B30" s="33">
        <f>SUM( B29*1.185)</f>
        <v>0</v>
      </c>
      <c r="C30" s="40" t="str">
        <f t="shared" si="5"/>
        <v>KCAL</v>
      </c>
      <c r="D30" s="35"/>
    </row>
    <row r="31" ht="18.75" customHeight="1">
      <c r="A31" s="26" t="str">
        <f>'Shopping List'!A37</f>
        <v>Salmon, whole or ground</v>
      </c>
      <c r="B31" s="2"/>
      <c r="C31" s="2"/>
      <c r="D31" s="3"/>
    </row>
    <row r="32" ht="18.75" customHeight="1">
      <c r="A32" s="27" t="s">
        <v>14</v>
      </c>
      <c r="B32" s="2"/>
      <c r="C32" s="2"/>
      <c r="D32" s="3"/>
    </row>
    <row r="33" ht="18.75" customHeight="1">
      <c r="A33" s="37"/>
      <c r="B33" s="29">
        <f>SUM(B34/28.35)</f>
        <v>0</v>
      </c>
      <c r="C33" s="38" t="str">
        <f t="shared" ref="C33:C35" si="6">D7</f>
        <v>OZ</v>
      </c>
      <c r="D33" s="31"/>
    </row>
    <row r="34" ht="18.75" customHeight="1">
      <c r="A34" s="39"/>
      <c r="B34" s="33">
        <f>SUM(45)*(C7/22.95)</f>
        <v>0</v>
      </c>
      <c r="C34" s="34" t="str">
        <f t="shared" si="6"/>
        <v>G</v>
      </c>
      <c r="D34" s="35"/>
    </row>
    <row r="35" ht="18.75" customHeight="1">
      <c r="A35" s="39"/>
      <c r="B35" s="33">
        <f>SUM( B34*1.27)</f>
        <v>0</v>
      </c>
      <c r="C35" s="40" t="str">
        <f t="shared" si="6"/>
        <v>KCAL</v>
      </c>
      <c r="D35" s="35"/>
    </row>
    <row r="36" ht="18.75" customHeight="1">
      <c r="A36" s="26" t="str">
        <f>'Shopping List'!A46</f>
        <v>Broccoli, raw pureed or steamed</v>
      </c>
      <c r="B36" s="2"/>
      <c r="C36" s="2"/>
      <c r="D36" s="3"/>
    </row>
    <row r="37" ht="18.75" customHeight="1">
      <c r="A37" s="27" t="s">
        <v>15</v>
      </c>
      <c r="B37" s="2"/>
      <c r="C37" s="2"/>
      <c r="D37" s="3"/>
    </row>
    <row r="38" ht="18.75" customHeight="1">
      <c r="A38" s="37"/>
      <c r="B38" s="29">
        <f>SUM(B39/28.35)</f>
        <v>0</v>
      </c>
      <c r="C38" s="38" t="str">
        <f t="shared" ref="C38:C40" si="7">D7</f>
        <v>OZ</v>
      </c>
      <c r="D38" s="31"/>
    </row>
    <row r="39" ht="18.75" customHeight="1">
      <c r="A39" s="39"/>
      <c r="B39" s="33">
        <f>SUM(55)*(C7/22.95)</f>
        <v>0</v>
      </c>
      <c r="C39" s="34" t="str">
        <f t="shared" si="7"/>
        <v>G</v>
      </c>
      <c r="D39" s="35"/>
    </row>
    <row r="40" ht="18.75" customHeight="1">
      <c r="A40" s="39"/>
      <c r="B40" s="33">
        <f>B39*0.34</f>
        <v>0</v>
      </c>
      <c r="C40" s="40" t="str">
        <f t="shared" si="7"/>
        <v>KCAL</v>
      </c>
      <c r="D40" s="35"/>
    </row>
    <row r="41" ht="18.75" customHeight="1">
      <c r="A41" s="41" t="str">
        <f>'Shopping List'!A64</f>
        <v>Flaxseed Oil</v>
      </c>
      <c r="B41" s="2"/>
      <c r="C41" s="2"/>
      <c r="D41" s="3"/>
    </row>
    <row r="42" ht="18.75" customHeight="1">
      <c r="A42" s="27" t="s">
        <v>16</v>
      </c>
      <c r="B42" s="2"/>
      <c r="C42" s="2"/>
      <c r="D42" s="3"/>
    </row>
    <row r="43" ht="18.75" customHeight="1">
      <c r="A43" s="37"/>
      <c r="B43" s="29">
        <f>B44/5.15</f>
        <v>0</v>
      </c>
      <c r="C43" s="30" t="s">
        <v>17</v>
      </c>
      <c r="D43" s="31"/>
    </row>
    <row r="44" ht="18.75" customHeight="1">
      <c r="A44" s="39"/>
      <c r="B44" s="33">
        <f>SUM(1.7)*(C7/22.95)</f>
        <v>0</v>
      </c>
      <c r="C44" s="34" t="str">
        <f t="shared" ref="C44:C45" si="8">D8</f>
        <v>G</v>
      </c>
      <c r="D44" s="35"/>
    </row>
    <row r="45" ht="18.75" customHeight="1">
      <c r="A45" s="39"/>
      <c r="B45" s="33">
        <f>B44*8.84</f>
        <v>0</v>
      </c>
      <c r="C45" s="40" t="str">
        <f t="shared" si="8"/>
        <v>KCAL</v>
      </c>
      <c r="D45" s="35"/>
    </row>
    <row r="46" ht="18.75" customHeight="1">
      <c r="A46" s="42"/>
      <c r="B46" s="43"/>
      <c r="C46" s="43"/>
      <c r="D46" s="17"/>
    </row>
    <row r="47" ht="18.75" customHeight="1">
      <c r="A47" s="27" t="s">
        <v>18</v>
      </c>
      <c r="B47" s="2"/>
      <c r="C47" s="2"/>
      <c r="D47" s="3"/>
    </row>
    <row r="48" ht="18.75" customHeight="1">
      <c r="A48" s="37"/>
      <c r="B48" s="29" t="str">
        <f t="shared" ref="B48:C48" si="9">B49</f>
        <v>error</v>
      </c>
      <c r="C48" s="30" t="str">
        <f t="shared" si="9"/>
        <v>error</v>
      </c>
      <c r="D48" s="31"/>
    </row>
    <row r="49" ht="18.75" customHeight="1">
      <c r="A49" s="39"/>
      <c r="B49" s="33" t="str">
        <f>IF(A46="Thorne Research Zinc Picolinate (15mg/capsule)",SUM(2)*(C7/22.95), IF(A46="Solgar Zinc Picolinate (22mg/tablet)", SUM(30/22)*(C7/22.95),IF( A46="Thorne Research Zinc Picolinate (30mg/capsule)",SUM(1)*(C7/22.95),IF(A46="NOW Zinc Picolinate (50mg/capsule)",SUM(30/50)*(C7/22.95),"error"))))</f>
        <v>error</v>
      </c>
      <c r="C49" s="34" t="str">
        <f>IF(A46="Thorne Research Zinc Picolinate (15mg/capsule)", "PILL", IF(A46="Solgar Zinc Picolinate (22mg/tablet)", "PILL",IF( A46="Thorne Research Zinc Picolinate (30mg/capsule)", "PILL",IF(A46="NOW Zinc Picolinate (50mg/capsule)","PILL","error"))))</f>
        <v>error</v>
      </c>
      <c r="D49" s="35"/>
    </row>
    <row r="50" ht="18.75" customHeight="1">
      <c r="A50" s="39"/>
      <c r="B50" s="33">
        <f>SUM(0)</f>
        <v>0</v>
      </c>
      <c r="C50" s="40" t="str">
        <f>D9</f>
        <v>KCAL</v>
      </c>
      <c r="D50" s="35"/>
    </row>
    <row r="51" ht="18.75" customHeight="1">
      <c r="A51" s="44" t="str">
        <f>'Shopping List'!A70</f>
        <v>NOW Vitamin E (31.6IU/drop)</v>
      </c>
      <c r="B51" s="2"/>
      <c r="C51" s="2"/>
      <c r="D51" s="3"/>
    </row>
    <row r="52" ht="18.75" customHeight="1">
      <c r="A52" s="27" t="s">
        <v>18</v>
      </c>
      <c r="B52" s="2"/>
      <c r="C52" s="2"/>
      <c r="D52" s="3"/>
    </row>
    <row r="53" ht="18.75" customHeight="1">
      <c r="A53" s="37"/>
      <c r="B53" s="29">
        <f>B54</f>
        <v>0</v>
      </c>
      <c r="C53" s="30" t="s">
        <v>19</v>
      </c>
      <c r="D53" s="31"/>
    </row>
    <row r="54" ht="18.75" customHeight="1">
      <c r="A54" s="39"/>
      <c r="B54" s="33">
        <f>SUM(2)*(C7/22.95)</f>
        <v>0</v>
      </c>
      <c r="C54" s="34" t="str">
        <f>C53</f>
        <v>DROP</v>
      </c>
      <c r="D54" s="35"/>
    </row>
    <row r="55" ht="18.75" customHeight="1">
      <c r="A55" s="39"/>
      <c r="B55" s="33">
        <f>SUM(0)</f>
        <v>0</v>
      </c>
      <c r="C55" s="40" t="str">
        <f>D9</f>
        <v>KCAL</v>
      </c>
      <c r="D55" s="35"/>
    </row>
    <row r="56" ht="18.75" customHeight="1">
      <c r="A56" s="42"/>
      <c r="B56" s="43"/>
      <c r="C56" s="43"/>
      <c r="D56" s="17"/>
    </row>
    <row r="57" ht="18.75" customHeight="1">
      <c r="A57" s="27" t="s">
        <v>18</v>
      </c>
      <c r="B57" s="2"/>
      <c r="C57" s="2"/>
      <c r="D57" s="3"/>
    </row>
    <row r="58" ht="18.75" customHeight="1">
      <c r="A58" s="37"/>
      <c r="B58" s="29" t="str">
        <f t="shared" ref="B58:C58" si="10">B59</f>
        <v>error</v>
      </c>
      <c r="C58" s="30" t="str">
        <f t="shared" si="10"/>
        <v>error</v>
      </c>
      <c r="D58" s="31"/>
    </row>
    <row r="59" ht="18.75" customHeight="1">
      <c r="A59" s="45"/>
      <c r="B59" s="33" t="str">
        <f>IF(A56="NOW Pure Kelp Powder (450mcg/scoop)",(C9/1000)*220/450,IF(A56="Solgar Kelp (200mcg/capsule)",(C9/1000)*220/200,IF(A56="Mary Ruth's Pure Iodine (125mcg/drop)",(C9/1000)*220/(250/2),IF(A56="NOW Kelp Tablets (150mcg/tablet)",(C9/1000)*220/(150),"error"       ))))</f>
        <v>error</v>
      </c>
      <c r="C59" s="34" t="str">
        <f>IF(A56="NOW Pure Kelp Powder (450mcg/scoop)", "SCOOP",IF(A56="Solgar Kelp (200mcg/capsule)","PILL",IF(A56="Mary Ruth's Pure Iodine (125mcg/drop)","DROP",IF(A56="NOW Kelp Tablets (150mcg/tablet)","PILL","error"      ))))</f>
        <v>error</v>
      </c>
      <c r="D59" s="35"/>
    </row>
    <row r="60" ht="18.75" customHeight="1">
      <c r="A60" s="45"/>
      <c r="B60" s="33">
        <f>SUM(0)</f>
        <v>0</v>
      </c>
      <c r="C60" s="40" t="str">
        <f>D9</f>
        <v>KCAL</v>
      </c>
      <c r="D60" s="35"/>
    </row>
    <row r="61" ht="15.75" customHeight="1">
      <c r="A61" s="46"/>
      <c r="B61" s="25"/>
      <c r="C61" s="25"/>
      <c r="D61" s="24"/>
    </row>
    <row r="62" ht="15.75" customHeight="1">
      <c r="A62" s="47" t="s">
        <v>20</v>
      </c>
      <c r="B62" s="48"/>
      <c r="C62" s="48"/>
      <c r="D62" s="48"/>
    </row>
    <row r="63" ht="15.75" customHeight="1">
      <c r="A63" s="49"/>
      <c r="B63" s="50"/>
      <c r="C63" s="49"/>
      <c r="D63" s="51"/>
    </row>
    <row r="64" ht="15.75" customHeight="1">
      <c r="A64" s="49"/>
      <c r="B64" s="50"/>
      <c r="C64" s="49"/>
      <c r="D64" s="51"/>
    </row>
    <row r="65" ht="15.75" customHeight="1">
      <c r="A65" s="49"/>
      <c r="B65" s="50"/>
      <c r="C65" s="49"/>
      <c r="D65" s="51"/>
    </row>
    <row r="66" ht="15.75" customHeight="1">
      <c r="A66" s="49"/>
      <c r="B66" s="50"/>
      <c r="C66" s="49"/>
      <c r="D66" s="51"/>
    </row>
    <row r="67" ht="15.75" customHeight="1">
      <c r="A67" s="49"/>
      <c r="B67" s="50"/>
      <c r="C67" s="49"/>
      <c r="D67" s="51"/>
    </row>
    <row r="68" ht="15.75" customHeight="1">
      <c r="A68" s="49"/>
      <c r="B68" s="50"/>
      <c r="C68" s="49"/>
      <c r="D68" s="51"/>
    </row>
    <row r="69" ht="15.75" customHeight="1">
      <c r="A69" s="49"/>
      <c r="B69" s="50"/>
      <c r="C69" s="49"/>
      <c r="D69" s="51"/>
    </row>
    <row r="70" ht="15.75" customHeight="1">
      <c r="A70" s="49"/>
      <c r="B70" s="50"/>
      <c r="C70" s="49"/>
      <c r="D70" s="51"/>
    </row>
    <row r="71" ht="15.75" customHeight="1">
      <c r="A71" s="49"/>
      <c r="B71" s="50"/>
      <c r="C71" s="49"/>
      <c r="D71" s="51"/>
    </row>
    <row r="72" ht="15.75" customHeight="1">
      <c r="A72" s="52"/>
      <c r="B72" s="53" t="s">
        <v>12</v>
      </c>
      <c r="C72" s="54">
        <f>SUM((B14-(B14*0.4))+B19+B24)</f>
        <v>0</v>
      </c>
      <c r="D72" s="55" t="str">
        <f>C14</f>
        <v>G</v>
      </c>
    </row>
    <row r="73" ht="15.75" customHeight="1">
      <c r="A73" s="56"/>
      <c r="B73" s="57" t="s">
        <v>21</v>
      </c>
      <c r="C73" s="58">
        <f>SUM(B14*0.3)</f>
        <v>0</v>
      </c>
      <c r="D73" s="59" t="str">
        <f>C14</f>
        <v>G</v>
      </c>
    </row>
    <row r="74" ht="15.75" customHeight="1">
      <c r="A74" s="60"/>
      <c r="B74" s="61" t="s">
        <v>22</v>
      </c>
      <c r="C74" s="58">
        <f>SUM( B14*0.1)+B29</f>
        <v>0</v>
      </c>
      <c r="D74" s="59" t="str">
        <f>C14</f>
        <v>G</v>
      </c>
    </row>
    <row r="75" ht="15.75" customHeight="1">
      <c r="A75" s="62"/>
      <c r="B75" s="57" t="s">
        <v>23</v>
      </c>
      <c r="C75" s="58">
        <f>B39</f>
        <v>0</v>
      </c>
      <c r="D75" s="59" t="str">
        <f>C14</f>
        <v>G</v>
      </c>
    </row>
    <row r="76" ht="15.75" customHeight="1">
      <c r="A76" s="63"/>
      <c r="B76" s="64" t="s">
        <v>14</v>
      </c>
      <c r="C76" s="65">
        <f>B34</f>
        <v>0</v>
      </c>
      <c r="D76" s="66" t="str">
        <f>C14</f>
        <v>G</v>
      </c>
    </row>
    <row r="77" ht="15.75" customHeight="1">
      <c r="A77" s="67"/>
      <c r="B77" s="57" t="s">
        <v>24</v>
      </c>
      <c r="C77" s="58" t="str">
        <f>SUM(B54+B59+B49)</f>
        <v>#VALUE!</v>
      </c>
      <c r="D77" s="59" t="s">
        <v>8</v>
      </c>
    </row>
    <row r="78" ht="15.75" customHeight="1">
      <c r="A78" s="68"/>
      <c r="B78" s="68"/>
      <c r="C78" s="68"/>
      <c r="D78" s="68"/>
    </row>
    <row r="79" ht="15.75" customHeight="1">
      <c r="A79" s="47" t="s">
        <v>25</v>
      </c>
      <c r="B79" s="48"/>
      <c r="C79" s="48"/>
      <c r="D79" s="48"/>
    </row>
    <row r="80" ht="15.75" customHeight="1">
      <c r="A80" s="46"/>
      <c r="B80" s="25"/>
      <c r="C80" s="25"/>
      <c r="D80" s="24"/>
    </row>
    <row r="81" ht="15.75" customHeight="1">
      <c r="A81" s="46"/>
      <c r="B81" s="25"/>
      <c r="C81" s="25"/>
      <c r="D81" s="24"/>
    </row>
    <row r="82" ht="15.75" customHeight="1">
      <c r="A82" s="46"/>
      <c r="B82" s="25"/>
      <c r="C82" s="25"/>
      <c r="D82" s="24"/>
    </row>
    <row r="83" ht="15.75" customHeight="1">
      <c r="A83" s="46"/>
      <c r="B83" s="25"/>
      <c r="C83" s="25"/>
      <c r="D83" s="24"/>
    </row>
    <row r="84" ht="15.75" customHeight="1">
      <c r="A84" s="46"/>
      <c r="B84" s="25"/>
      <c r="C84" s="25"/>
      <c r="D84" s="24"/>
    </row>
    <row r="85" ht="15.75" customHeight="1">
      <c r="A85" s="46"/>
      <c r="B85" s="25"/>
      <c r="C85" s="25"/>
      <c r="D85" s="24"/>
    </row>
    <row r="86" ht="15.75" customHeight="1">
      <c r="A86" s="46"/>
      <c r="B86" s="25"/>
      <c r="C86" s="25"/>
      <c r="D86" s="24"/>
    </row>
    <row r="87" ht="15.75" customHeight="1">
      <c r="A87" s="46"/>
      <c r="B87" s="25"/>
      <c r="C87" s="25"/>
      <c r="D87" s="24"/>
    </row>
    <row r="88" ht="15.75" customHeight="1">
      <c r="A88" s="46"/>
      <c r="B88" s="25"/>
      <c r="C88" s="25"/>
      <c r="D88" s="24"/>
    </row>
    <row r="89" ht="15.75" customHeight="1">
      <c r="A89" s="52"/>
      <c r="B89" s="69" t="s">
        <v>26</v>
      </c>
      <c r="C89" s="70"/>
      <c r="D89" s="71">
        <v>0.15</v>
      </c>
    </row>
    <row r="90" ht="15.75" customHeight="1">
      <c r="A90" s="56"/>
      <c r="B90" s="61" t="s">
        <v>27</v>
      </c>
      <c r="C90" s="72"/>
      <c r="D90" s="73">
        <v>0.11</v>
      </c>
    </row>
    <row r="91" ht="15.75" customHeight="1">
      <c r="A91" s="60"/>
      <c r="B91" s="61" t="s">
        <v>28</v>
      </c>
      <c r="C91" s="72"/>
      <c r="D91" s="73">
        <v>0.0</v>
      </c>
    </row>
    <row r="92" ht="15.75" customHeight="1">
      <c r="A92" s="62"/>
      <c r="B92" s="61" t="s">
        <v>29</v>
      </c>
      <c r="C92" s="72"/>
      <c r="D92" s="73">
        <v>0.07</v>
      </c>
    </row>
    <row r="93" ht="15.75" customHeight="1">
      <c r="A93" s="63"/>
      <c r="B93" s="61" t="s">
        <v>30</v>
      </c>
      <c r="C93" s="72"/>
      <c r="D93" s="73">
        <v>0.66</v>
      </c>
    </row>
    <row r="94" ht="15.75" customHeight="1">
      <c r="A94" s="72"/>
      <c r="B94" s="61" t="s">
        <v>31</v>
      </c>
      <c r="C94" s="72"/>
      <c r="D94" s="74">
        <v>1670.0</v>
      </c>
    </row>
  </sheetData>
  <mergeCells count="33">
    <mergeCell ref="A1:D1"/>
    <mergeCell ref="A3:B3"/>
    <mergeCell ref="C3:D3"/>
    <mergeCell ref="A4:B4"/>
    <mergeCell ref="C4:D4"/>
    <mergeCell ref="A5:B5"/>
    <mergeCell ref="C6:D6"/>
    <mergeCell ref="A6:B6"/>
    <mergeCell ref="A7:B7"/>
    <mergeCell ref="A8:B8"/>
    <mergeCell ref="A9:B9"/>
    <mergeCell ref="A11:D11"/>
    <mergeCell ref="A12:D12"/>
    <mergeCell ref="A16:D16"/>
    <mergeCell ref="A17:D17"/>
    <mergeCell ref="A21:D21"/>
    <mergeCell ref="A22:D22"/>
    <mergeCell ref="A26:D26"/>
    <mergeCell ref="A27:D27"/>
    <mergeCell ref="A31:D31"/>
    <mergeCell ref="A32:D32"/>
    <mergeCell ref="A52:D52"/>
    <mergeCell ref="A56:D56"/>
    <mergeCell ref="A57:D57"/>
    <mergeCell ref="A62:D62"/>
    <mergeCell ref="A79:D79"/>
    <mergeCell ref="A36:D36"/>
    <mergeCell ref="A37:D37"/>
    <mergeCell ref="A41:D41"/>
    <mergeCell ref="A42:D42"/>
    <mergeCell ref="A46:D46"/>
    <mergeCell ref="A47:D47"/>
    <mergeCell ref="A51:D51"/>
  </mergeCells>
  <dataValidations>
    <dataValidation type="list" allowBlank="1" sqref="A46">
      <formula1>"Thorne Research Zinc Picolinate (15mg/capsule),Solgar Zinc Picolinate (22mg/tablet),Thorne Research Zinc Picolinate (30mg/capsule),NOW Zinc Picolinate (50mg/capsule)"</formula1>
    </dataValidation>
    <dataValidation type="list" allowBlank="1" sqref="A56">
      <formula1>"NOW Pure Kelp Powder (450mcg/scoop),NOW Kelp Tablets (150mcg/tablet),Solgar Kelp (200mcg/capsule),Mary Ruth's Pure Iodine (125mcg/drop)"</formula1>
    </dataValidation>
    <dataValidation type="list" allowBlank="1" showDropDown="1" sqref="C6">
      <formula1>"0.01,0.0125,0.015,0.0175,0.02,0.0225,0.025,0.0275,0.03,0.0325,0.035,0.0375,0.04,0.0425,0.045,0.0475,0.05,0.055,0.06,0.065,0.07,0.075,0.08,0.085,0.09,0.095,0.1"</formula1>
    </dataValidation>
  </dataValidations>
  <printOptions gridLines="1" horizontalCentered="1"/>
  <pageMargins bottom="0.75" footer="0.0" header="0.0" left="0.7" right="0.7" top="0.75"/>
  <pageSetup fitToHeight="0" cellComments="atEnd" orientation="portrait" pageOrder="overThenDown"/>
  <drawing r:id="rId1"/>
  <tableParts count="10"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4" width="12.29"/>
  </cols>
  <sheetData>
    <row r="1" ht="93.75" customHeight="1">
      <c r="A1" s="1"/>
      <c r="B1" s="2"/>
      <c r="C1" s="2"/>
      <c r="D1" s="3"/>
    </row>
    <row r="2" ht="18.75" customHeight="1">
      <c r="A2" s="4"/>
      <c r="B2" s="4"/>
      <c r="C2" s="5"/>
      <c r="D2" s="5"/>
    </row>
    <row r="3" ht="18.75" customHeight="1">
      <c r="A3" s="6" t="s">
        <v>0</v>
      </c>
      <c r="B3" s="7"/>
      <c r="C3" s="8" t="str">
        <f>'Shopping List'!A16</f>
        <v>Beef Grind</v>
      </c>
      <c r="D3" s="7"/>
    </row>
    <row r="4" ht="18.75" customHeight="1">
      <c r="A4" s="9" t="s">
        <v>1</v>
      </c>
      <c r="B4" s="10"/>
      <c r="C4" s="11" t="str">
        <f>'Menu 1 - Duck'!C4</f>
        <v>Puppy Development</v>
      </c>
      <c r="D4" s="12"/>
    </row>
    <row r="5" ht="18.75" customHeight="1">
      <c r="A5" s="13" t="s">
        <v>3</v>
      </c>
      <c r="B5" s="10"/>
      <c r="C5" s="75" t="str">
        <f>'Menu 1 - Duck'!C5</f>
        <v/>
      </c>
      <c r="D5" s="74" t="str">
        <f>'Menu 1 - Duck'!D5</f>
        <v>LB</v>
      </c>
    </row>
    <row r="6" ht="18.75" customHeight="1">
      <c r="A6" s="13" t="s">
        <v>5</v>
      </c>
      <c r="B6" s="10"/>
      <c r="C6" s="76" t="str">
        <f>'Menu 1 - Duck'!C6</f>
        <v/>
      </c>
      <c r="D6" s="10"/>
    </row>
    <row r="7" ht="18.75" customHeight="1">
      <c r="A7" s="13" t="s">
        <v>6</v>
      </c>
      <c r="B7" s="10"/>
      <c r="C7" s="18">
        <f>'Menu 1 - Duck'!C7</f>
        <v>0</v>
      </c>
      <c r="D7" s="19" t="str">
        <f>'Menu 1 - Duck'!D7</f>
        <v>OZ</v>
      </c>
    </row>
    <row r="8" ht="18.75" customHeight="1">
      <c r="A8" s="13" t="s">
        <v>7</v>
      </c>
      <c r="B8" s="10"/>
      <c r="C8" s="20" t="str">
        <f>SUM(B14+B19+B24+B29+B34+B39+B44+B49+B54+B59)</f>
        <v>#VALUE!</v>
      </c>
      <c r="D8" s="21" t="s">
        <v>8</v>
      </c>
    </row>
    <row r="9" ht="18.75" customHeight="1">
      <c r="A9" s="22" t="s">
        <v>9</v>
      </c>
      <c r="B9" s="7"/>
      <c r="C9" s="23">
        <f>SUM( B15+B20+B25+B30+B35+B40+B45+B50+B55+B60)</f>
        <v>0</v>
      </c>
      <c r="D9" s="19" t="s">
        <v>10</v>
      </c>
    </row>
    <row r="10" ht="18.75" customHeight="1">
      <c r="A10" s="24"/>
      <c r="B10" s="24"/>
      <c r="C10" s="25"/>
      <c r="D10" s="24"/>
    </row>
    <row r="11" ht="18.75" customHeight="1">
      <c r="A11" s="26" t="str">
        <f>'Shopping List'!A16</f>
        <v>Beef Grind</v>
      </c>
      <c r="B11" s="2"/>
      <c r="C11" s="2"/>
      <c r="D11" s="3"/>
    </row>
    <row r="12" ht="18.75" customHeight="1">
      <c r="A12" s="27" t="s">
        <v>11</v>
      </c>
      <c r="B12" s="2"/>
      <c r="C12" s="2"/>
      <c r="D12" s="3"/>
    </row>
    <row r="13" ht="18.75" customHeight="1">
      <c r="A13" s="28"/>
      <c r="B13" s="29">
        <f>SUM(B14/28.35)</f>
        <v>0</v>
      </c>
      <c r="C13" s="30" t="str">
        <f t="shared" ref="C13:C15" si="1">D7</f>
        <v>OZ</v>
      </c>
      <c r="D13" s="31"/>
    </row>
    <row r="14" ht="18.75" customHeight="1">
      <c r="A14" s="32"/>
      <c r="B14" s="33">
        <f>SUM(241.2)*(C7/20.86)</f>
        <v>0</v>
      </c>
      <c r="C14" s="34" t="str">
        <f t="shared" si="1"/>
        <v>G</v>
      </c>
      <c r="D14" s="35"/>
    </row>
    <row r="15" ht="18.75" customHeight="1">
      <c r="A15" s="32"/>
      <c r="B15" s="33">
        <f>SUM((D94/1000)*B14)</f>
        <v>0</v>
      </c>
      <c r="C15" s="36" t="str">
        <f t="shared" si="1"/>
        <v>KCAL</v>
      </c>
      <c r="D15" s="35"/>
    </row>
    <row r="16" ht="18.75" customHeight="1">
      <c r="A16" s="26" t="str">
        <f>'Shopping List'!A28</f>
        <v>Poultry Neck or Head, whole or ground</v>
      </c>
      <c r="B16" s="2"/>
      <c r="C16" s="2"/>
      <c r="D16" s="3"/>
    </row>
    <row r="17" ht="18.75" customHeight="1">
      <c r="A17" s="27" t="s">
        <v>32</v>
      </c>
      <c r="B17" s="2"/>
      <c r="C17" s="2"/>
      <c r="D17" s="3"/>
    </row>
    <row r="18" ht="18.75" customHeight="1">
      <c r="A18" s="37"/>
      <c r="B18" s="29">
        <f>SUM(B19/28.35)</f>
        <v>0</v>
      </c>
      <c r="C18" s="38" t="str">
        <f t="shared" ref="C18:C20" si="2">D7</f>
        <v>OZ</v>
      </c>
      <c r="D18" s="31"/>
    </row>
    <row r="19" ht="18.75" customHeight="1">
      <c r="A19" s="39"/>
      <c r="B19" s="33">
        <f>SUM(120)*(C7/20.85)</f>
        <v>0</v>
      </c>
      <c r="C19" s="34" t="str">
        <f t="shared" si="2"/>
        <v>G</v>
      </c>
      <c r="D19" s="35"/>
    </row>
    <row r="20" ht="18.75" customHeight="1">
      <c r="A20" s="39"/>
      <c r="B20" s="33">
        <f>B19*1.25</f>
        <v>0</v>
      </c>
      <c r="C20" s="40" t="str">
        <f t="shared" si="2"/>
        <v>KCAL</v>
      </c>
      <c r="D20" s="35"/>
    </row>
    <row r="21" ht="18.75" customHeight="1">
      <c r="A21" s="26" t="str">
        <f>'Shopping List'!A22</f>
        <v>Green Tripe, whole or ground</v>
      </c>
      <c r="B21" s="2"/>
      <c r="C21" s="2"/>
      <c r="D21" s="3"/>
    </row>
    <row r="22" ht="18.75" customHeight="1">
      <c r="A22" s="27" t="s">
        <v>12</v>
      </c>
      <c r="B22" s="2"/>
      <c r="C22" s="2"/>
      <c r="D22" s="3"/>
    </row>
    <row r="23" ht="18.75" customHeight="1">
      <c r="A23" s="37"/>
      <c r="B23" s="29">
        <f>SUM(B24/28.35)</f>
        <v>0</v>
      </c>
      <c r="C23" s="38" t="str">
        <f t="shared" ref="C23:C25" si="3">D7</f>
        <v>OZ</v>
      </c>
      <c r="D23" s="31"/>
    </row>
    <row r="24" ht="18.75" customHeight="1">
      <c r="A24" s="39"/>
      <c r="B24" s="33">
        <f>'Menu 1 - Duck'!B19</f>
        <v>0</v>
      </c>
      <c r="C24" s="34" t="str">
        <f t="shared" si="3"/>
        <v>G</v>
      </c>
      <c r="D24" s="35"/>
    </row>
    <row r="25" ht="18.75" customHeight="1">
      <c r="A25" s="39"/>
      <c r="B25" s="33">
        <f>B24*2.25</f>
        <v>0</v>
      </c>
      <c r="C25" s="40" t="str">
        <f t="shared" si="3"/>
        <v>KCAL</v>
      </c>
      <c r="D25" s="35"/>
    </row>
    <row r="26" ht="18.75" customHeight="1">
      <c r="A26" s="26" t="str">
        <f>'Shopping List'!A34</f>
        <v>Monster Mash</v>
      </c>
      <c r="B26" s="2"/>
      <c r="C26" s="2"/>
      <c r="D26" s="3"/>
    </row>
    <row r="27" ht="18.75" customHeight="1">
      <c r="A27" s="27" t="s">
        <v>13</v>
      </c>
      <c r="B27" s="2"/>
      <c r="C27" s="2"/>
      <c r="D27" s="3"/>
    </row>
    <row r="28" ht="18.75" customHeight="1">
      <c r="A28" s="37"/>
      <c r="B28" s="29">
        <f>B29/28.35</f>
        <v>0</v>
      </c>
      <c r="C28" s="38" t="str">
        <f t="shared" ref="C28:C30" si="4">D7</f>
        <v>OZ</v>
      </c>
      <c r="D28" s="31"/>
    </row>
    <row r="29" ht="18.75" customHeight="1">
      <c r="A29" s="39"/>
      <c r="B29" s="33">
        <f>'Menu 1 - Duck'!B29</f>
        <v>0</v>
      </c>
      <c r="C29" s="34" t="str">
        <f t="shared" si="4"/>
        <v>G</v>
      </c>
      <c r="D29" s="35"/>
    </row>
    <row r="30" ht="18.75" customHeight="1">
      <c r="A30" s="39"/>
      <c r="B30" s="33">
        <f>SUM( B29*1.185)</f>
        <v>0</v>
      </c>
      <c r="C30" s="40" t="str">
        <f t="shared" si="4"/>
        <v>KCAL</v>
      </c>
      <c r="D30" s="35"/>
    </row>
    <row r="31" ht="18.75" customHeight="1">
      <c r="A31" s="26" t="str">
        <f>'Shopping List'!A40</f>
        <v>Mackerel</v>
      </c>
      <c r="B31" s="2"/>
      <c r="C31" s="2"/>
      <c r="D31" s="3"/>
    </row>
    <row r="32" ht="18.75" customHeight="1">
      <c r="A32" s="27" t="s">
        <v>14</v>
      </c>
      <c r="B32" s="2"/>
      <c r="C32" s="2"/>
      <c r="D32" s="3"/>
    </row>
    <row r="33" ht="18.75" customHeight="1">
      <c r="A33" s="37"/>
      <c r="B33" s="29">
        <f>SUM(B34/28.35)</f>
        <v>0</v>
      </c>
      <c r="C33" s="38" t="str">
        <f t="shared" ref="C33:C35" si="5">D7</f>
        <v>OZ</v>
      </c>
      <c r="D33" s="31"/>
    </row>
    <row r="34" ht="18.75" customHeight="1">
      <c r="A34" s="39"/>
      <c r="B34" s="33">
        <f>'Menu 1 - Duck'!B34</f>
        <v>0</v>
      </c>
      <c r="C34" s="34" t="str">
        <f t="shared" si="5"/>
        <v>G</v>
      </c>
      <c r="D34" s="35"/>
    </row>
    <row r="35" ht="18.75" customHeight="1">
      <c r="A35" s="39"/>
      <c r="B35" s="33">
        <f>B34*2.05</f>
        <v>0</v>
      </c>
      <c r="C35" s="40" t="str">
        <f t="shared" si="5"/>
        <v>KCAL</v>
      </c>
      <c r="D35" s="35"/>
    </row>
    <row r="36" ht="18.75" customHeight="1">
      <c r="A36" s="26" t="str">
        <f>'Shopping List'!A49</f>
        <v>Spinach, raw pureed or steamed</v>
      </c>
      <c r="B36" s="2"/>
      <c r="C36" s="2"/>
      <c r="D36" s="3"/>
    </row>
    <row r="37" ht="18.75" customHeight="1">
      <c r="A37" s="27" t="s">
        <v>33</v>
      </c>
      <c r="B37" s="2"/>
      <c r="C37" s="2"/>
      <c r="D37" s="3"/>
    </row>
    <row r="38" ht="18.75" customHeight="1">
      <c r="A38" s="37"/>
      <c r="B38" s="29">
        <f>SUM(B39/28.35)</f>
        <v>0</v>
      </c>
      <c r="C38" s="38" t="str">
        <f>D7</f>
        <v>OZ</v>
      </c>
      <c r="D38" s="31"/>
    </row>
    <row r="39" ht="18.75" customHeight="1">
      <c r="A39" s="39"/>
      <c r="B39" s="33">
        <f>'Menu 1 - Duck'!B39</f>
        <v>0</v>
      </c>
      <c r="C39" s="34" t="s">
        <v>8</v>
      </c>
      <c r="D39" s="35"/>
    </row>
    <row r="40" ht="18.75" customHeight="1">
      <c r="A40" s="39"/>
      <c r="B40" s="33">
        <f>SUM(B39*0.23)</f>
        <v>0</v>
      </c>
      <c r="C40" s="40" t="str">
        <f>D9</f>
        <v>KCAL</v>
      </c>
      <c r="D40" s="35"/>
    </row>
    <row r="41" ht="18.75" customHeight="1">
      <c r="A41" s="44" t="str">
        <f>'Shopping List'!A61</f>
        <v>Hempseed Oil</v>
      </c>
      <c r="B41" s="2"/>
      <c r="C41" s="2"/>
      <c r="D41" s="3"/>
    </row>
    <row r="42" ht="18.75" customHeight="1">
      <c r="A42" s="27" t="s">
        <v>16</v>
      </c>
      <c r="B42" s="2"/>
      <c r="C42" s="2"/>
      <c r="D42" s="3"/>
    </row>
    <row r="43" ht="18.75" customHeight="1">
      <c r="A43" s="37"/>
      <c r="B43" s="29">
        <f>SUM(B44/5.7)</f>
        <v>0</v>
      </c>
      <c r="C43" s="30" t="s">
        <v>17</v>
      </c>
      <c r="D43" s="31"/>
    </row>
    <row r="44" ht="18.75" customHeight="1">
      <c r="A44" s="39"/>
      <c r="B44" s="33">
        <f>SUM(1.88)*(C7/20.85)</f>
        <v>0</v>
      </c>
      <c r="C44" s="34" t="s">
        <v>8</v>
      </c>
      <c r="D44" s="35"/>
    </row>
    <row r="45" ht="18.75" customHeight="1">
      <c r="A45" s="39"/>
      <c r="B45" s="33">
        <f>B44*8.6666</f>
        <v>0</v>
      </c>
      <c r="C45" s="40" t="str">
        <f>D9</f>
        <v>KCAL</v>
      </c>
      <c r="D45" s="35"/>
    </row>
    <row r="46" ht="18.75" customHeight="1">
      <c r="A46" s="44" t="str">
        <f>'Menu 1 - Duck'!A46</f>
        <v/>
      </c>
      <c r="B46" s="2"/>
      <c r="C46" s="2"/>
      <c r="D46" s="3"/>
    </row>
    <row r="47" ht="18.75" customHeight="1">
      <c r="A47" s="27" t="s">
        <v>24</v>
      </c>
      <c r="B47" s="2"/>
      <c r="C47" s="2"/>
      <c r="D47" s="3"/>
    </row>
    <row r="48" ht="18.75" customHeight="1">
      <c r="A48" s="37"/>
      <c r="B48" s="29" t="str">
        <f t="shared" ref="B48:C48" si="6">B49</f>
        <v>error</v>
      </c>
      <c r="C48" s="30" t="str">
        <f t="shared" si="6"/>
        <v>error</v>
      </c>
      <c r="D48" s="31"/>
    </row>
    <row r="49" ht="18.75" customHeight="1">
      <c r="A49" s="39"/>
      <c r="B49" s="33" t="str">
        <f>'Menu 1 - Duck'!B49</f>
        <v>error</v>
      </c>
      <c r="C49" s="34" t="str">
        <f>'Menu 1 - Duck'!C49</f>
        <v>error</v>
      </c>
      <c r="D49" s="35"/>
    </row>
    <row r="50" ht="18.75" customHeight="1">
      <c r="A50" s="39"/>
      <c r="B50" s="33">
        <v>0.0</v>
      </c>
      <c r="C50" s="40" t="str">
        <f>D9</f>
        <v>KCAL</v>
      </c>
      <c r="D50" s="35"/>
    </row>
    <row r="51" ht="18.75" customHeight="1">
      <c r="A51" s="44" t="str">
        <f>'Shopping List'!A70</f>
        <v>NOW Vitamin E (31.6IU/drop)</v>
      </c>
      <c r="B51" s="2"/>
      <c r="C51" s="2"/>
      <c r="D51" s="3"/>
    </row>
    <row r="52" ht="18.75" customHeight="1">
      <c r="A52" s="27" t="s">
        <v>24</v>
      </c>
      <c r="B52" s="2"/>
      <c r="C52" s="2"/>
      <c r="D52" s="3"/>
    </row>
    <row r="53" ht="18.75" customHeight="1">
      <c r="A53" s="37"/>
      <c r="B53" s="29">
        <f>B54</f>
        <v>0</v>
      </c>
      <c r="C53" s="30" t="s">
        <v>19</v>
      </c>
      <c r="D53" s="31"/>
    </row>
    <row r="54" ht="18.75" customHeight="1">
      <c r="A54" s="39"/>
      <c r="B54" s="33">
        <f>'Menu 1 - Duck'!B53</f>
        <v>0</v>
      </c>
      <c r="C54" s="34" t="str">
        <f>C53</f>
        <v>DROP</v>
      </c>
      <c r="D54" s="35"/>
    </row>
    <row r="55" ht="18.75" customHeight="1">
      <c r="A55" s="39"/>
      <c r="B55" s="33">
        <f>SUM(0)</f>
        <v>0</v>
      </c>
      <c r="C55" s="40" t="str">
        <f>D9</f>
        <v>KCAL</v>
      </c>
      <c r="D55" s="35"/>
    </row>
    <row r="56" ht="18.75" customHeight="1">
      <c r="A56" s="44" t="str">
        <f>'Menu 1 - Duck'!A56</f>
        <v/>
      </c>
      <c r="B56" s="2"/>
      <c r="C56" s="2"/>
      <c r="D56" s="3"/>
    </row>
    <row r="57" ht="18.75" customHeight="1">
      <c r="A57" s="27" t="s">
        <v>24</v>
      </c>
      <c r="B57" s="2"/>
      <c r="C57" s="2"/>
      <c r="D57" s="3"/>
    </row>
    <row r="58" ht="18.75" customHeight="1">
      <c r="A58" s="37"/>
      <c r="B58" s="29" t="str">
        <f t="shared" ref="B58:C58" si="7">B59</f>
        <v>error</v>
      </c>
      <c r="C58" s="30" t="str">
        <f t="shared" si="7"/>
        <v>error</v>
      </c>
      <c r="D58" s="31"/>
    </row>
    <row r="59" ht="18.75" customHeight="1">
      <c r="A59" s="39"/>
      <c r="B59" s="33" t="str">
        <f>'Menu 1 - Duck'!B59</f>
        <v>error</v>
      </c>
      <c r="C59" s="34" t="str">
        <f>'Menu 1 - Duck'!C59</f>
        <v>error</v>
      </c>
      <c r="D59" s="35"/>
    </row>
    <row r="60" ht="18.75" customHeight="1">
      <c r="A60" s="39"/>
      <c r="B60" s="33">
        <f>SUM(0)</f>
        <v>0</v>
      </c>
      <c r="C60" s="40" t="str">
        <f>D9</f>
        <v>KCAL</v>
      </c>
      <c r="D60" s="35"/>
    </row>
    <row r="61" ht="15.75" customHeight="1">
      <c r="A61" s="77"/>
      <c r="B61" s="78"/>
      <c r="C61" s="78"/>
      <c r="D61" s="78"/>
    </row>
    <row r="62" ht="15.75" customHeight="1">
      <c r="A62" s="79" t="s">
        <v>34</v>
      </c>
      <c r="B62" s="80"/>
      <c r="C62" s="80"/>
      <c r="D62" s="80"/>
    </row>
    <row r="63" ht="15.75" customHeight="1">
      <c r="A63" s="77"/>
      <c r="B63" s="78"/>
      <c r="C63" s="78"/>
      <c r="D63" s="78"/>
    </row>
    <row r="64" ht="15.75" customHeight="1">
      <c r="A64" s="77"/>
      <c r="B64" s="78"/>
      <c r="C64" s="78"/>
      <c r="D64" s="78"/>
    </row>
    <row r="65" ht="15.75" customHeight="1">
      <c r="A65" s="77"/>
      <c r="B65" s="78"/>
      <c r="C65" s="78"/>
      <c r="D65" s="78"/>
    </row>
    <row r="66" ht="15.75" customHeight="1">
      <c r="A66" s="77"/>
      <c r="B66" s="78"/>
      <c r="C66" s="78"/>
      <c r="D66" s="78"/>
    </row>
    <row r="67" ht="15.75" customHeight="1">
      <c r="A67" s="77"/>
      <c r="B67" s="78"/>
      <c r="C67" s="78"/>
      <c r="D67" s="78"/>
    </row>
    <row r="68" ht="15.75" customHeight="1">
      <c r="A68" s="77"/>
      <c r="B68" s="78"/>
      <c r="C68" s="78"/>
      <c r="D68" s="78"/>
    </row>
    <row r="69" ht="15.75" customHeight="1">
      <c r="A69" s="77"/>
      <c r="B69" s="78"/>
      <c r="C69" s="78"/>
      <c r="D69" s="78"/>
    </row>
    <row r="70" ht="15.75" customHeight="1">
      <c r="A70" s="77"/>
      <c r="B70" s="78"/>
      <c r="C70" s="78"/>
      <c r="D70" s="78"/>
    </row>
    <row r="71" ht="15.75" customHeight="1">
      <c r="A71" s="77"/>
      <c r="B71" s="78"/>
      <c r="C71" s="78"/>
      <c r="D71" s="78"/>
    </row>
    <row r="72" ht="15.75" customHeight="1">
      <c r="A72" s="52"/>
      <c r="B72" s="81" t="s">
        <v>12</v>
      </c>
      <c r="C72" s="82">
        <f>SUM( B14-(B14*0.2))+B24</f>
        <v>0</v>
      </c>
      <c r="D72" s="83" t="str">
        <f>C14</f>
        <v>G</v>
      </c>
    </row>
    <row r="73" ht="15.75" customHeight="1">
      <c r="A73" s="56"/>
      <c r="B73" s="84" t="s">
        <v>21</v>
      </c>
      <c r="C73" s="85">
        <f>SUM(B14*0.1)+(B19*0.6)</f>
        <v>0</v>
      </c>
      <c r="D73" s="86" t="str">
        <f>C14</f>
        <v>G</v>
      </c>
    </row>
    <row r="74" ht="15.75" customHeight="1">
      <c r="A74" s="60"/>
      <c r="B74" s="87" t="s">
        <v>22</v>
      </c>
      <c r="C74" s="85">
        <f>SUM(B14*0.1)+B29</f>
        <v>0</v>
      </c>
      <c r="D74" s="86" t="str">
        <f>C14</f>
        <v>G</v>
      </c>
    </row>
    <row r="75" ht="15.75" customHeight="1">
      <c r="A75" s="62"/>
      <c r="B75" s="84" t="s">
        <v>23</v>
      </c>
      <c r="C75" s="85">
        <f>B39</f>
        <v>0</v>
      </c>
      <c r="D75" s="86" t="str">
        <f>C14</f>
        <v>G</v>
      </c>
    </row>
    <row r="76" ht="15.75" customHeight="1">
      <c r="A76" s="63"/>
      <c r="B76" s="84" t="s">
        <v>14</v>
      </c>
      <c r="C76" s="88">
        <f>B34</f>
        <v>0</v>
      </c>
      <c r="D76" s="86" t="str">
        <f>C14</f>
        <v>G</v>
      </c>
    </row>
    <row r="77" ht="15.75" customHeight="1">
      <c r="A77" s="89"/>
      <c r="B77" s="84" t="s">
        <v>24</v>
      </c>
      <c r="C77" s="85" t="str">
        <f>SUM(B44+B54+B59+B49)</f>
        <v>#VALUE!</v>
      </c>
      <c r="D77" s="86" t="s">
        <v>8</v>
      </c>
    </row>
    <row r="78" ht="15.75" customHeight="1">
      <c r="A78" s="77"/>
      <c r="B78" s="78"/>
      <c r="C78" s="78"/>
      <c r="D78" s="78"/>
    </row>
    <row r="79" ht="15.75" customHeight="1">
      <c r="A79" s="90" t="s">
        <v>35</v>
      </c>
      <c r="B79" s="48"/>
      <c r="C79" s="48"/>
      <c r="D79" s="48"/>
    </row>
    <row r="80" ht="15.75" customHeight="1">
      <c r="A80" s="77"/>
      <c r="B80" s="78"/>
      <c r="C80" s="78"/>
      <c r="D80" s="78"/>
    </row>
    <row r="81" ht="15.75" customHeight="1">
      <c r="A81" s="77"/>
      <c r="B81" s="78"/>
      <c r="C81" s="78"/>
      <c r="D81" s="78"/>
    </row>
    <row r="82" ht="15.75" customHeight="1">
      <c r="A82" s="77"/>
      <c r="B82" s="78"/>
      <c r="C82" s="78"/>
      <c r="D82" s="78"/>
    </row>
    <row r="83" ht="15.75" customHeight="1">
      <c r="A83" s="77"/>
      <c r="B83" s="78"/>
      <c r="C83" s="78"/>
      <c r="D83" s="78"/>
    </row>
    <row r="84" ht="15.75" customHeight="1">
      <c r="A84" s="77"/>
      <c r="B84" s="78"/>
      <c r="C84" s="78"/>
      <c r="D84" s="78"/>
    </row>
    <row r="85" ht="15.75" customHeight="1">
      <c r="A85" s="77"/>
      <c r="B85" s="78"/>
      <c r="C85" s="78"/>
      <c r="D85" s="78"/>
    </row>
    <row r="86" ht="15.75" customHeight="1">
      <c r="A86" s="77"/>
      <c r="B86" s="78"/>
      <c r="C86" s="78"/>
      <c r="D86" s="78"/>
    </row>
    <row r="87" ht="15.75" customHeight="1">
      <c r="A87" s="77"/>
      <c r="B87" s="78"/>
      <c r="C87" s="78"/>
      <c r="D87" s="78"/>
    </row>
    <row r="88" ht="15.75" customHeight="1">
      <c r="A88" s="77"/>
      <c r="B88" s="78"/>
      <c r="C88" s="78"/>
      <c r="D88" s="78"/>
    </row>
    <row r="89" ht="15.75" customHeight="1">
      <c r="A89" s="52"/>
      <c r="B89" s="91" t="s">
        <v>36</v>
      </c>
      <c r="C89" s="80"/>
      <c r="D89" s="92">
        <v>0.17</v>
      </c>
    </row>
    <row r="90" ht="15.75" customHeight="1">
      <c r="A90" s="56"/>
      <c r="B90" s="87" t="s">
        <v>37</v>
      </c>
      <c r="C90" s="93"/>
      <c r="D90" s="94">
        <v>0.12</v>
      </c>
    </row>
    <row r="91" ht="15.75" customHeight="1">
      <c r="A91" s="60"/>
      <c r="B91" s="87" t="s">
        <v>38</v>
      </c>
      <c r="C91" s="93"/>
      <c r="D91" s="94">
        <v>0.0</v>
      </c>
    </row>
    <row r="92" ht="15.75" customHeight="1">
      <c r="A92" s="62"/>
      <c r="B92" s="87" t="s">
        <v>39</v>
      </c>
      <c r="C92" s="93"/>
      <c r="D92" s="94">
        <v>0.02</v>
      </c>
    </row>
    <row r="93" ht="15.75" customHeight="1">
      <c r="A93" s="63"/>
      <c r="B93" s="87" t="s">
        <v>40</v>
      </c>
      <c r="C93" s="93"/>
      <c r="D93" s="94">
        <v>0.68</v>
      </c>
    </row>
    <row r="94" ht="15.75" customHeight="1">
      <c r="A94" s="72"/>
      <c r="B94" s="87" t="s">
        <v>31</v>
      </c>
      <c r="C94" s="93"/>
      <c r="D94" s="95">
        <v>1880.0</v>
      </c>
    </row>
  </sheetData>
  <mergeCells count="32">
    <mergeCell ref="A1:D1"/>
    <mergeCell ref="A3:B3"/>
    <mergeCell ref="C3:D3"/>
    <mergeCell ref="A4:B4"/>
    <mergeCell ref="C4:D4"/>
    <mergeCell ref="A5:B5"/>
    <mergeCell ref="C6:D6"/>
    <mergeCell ref="A6:B6"/>
    <mergeCell ref="A7:B7"/>
    <mergeCell ref="A8:B8"/>
    <mergeCell ref="A9:B9"/>
    <mergeCell ref="A11:D11"/>
    <mergeCell ref="A12:D12"/>
    <mergeCell ref="A16:D16"/>
    <mergeCell ref="A17:D17"/>
    <mergeCell ref="A21:D21"/>
    <mergeCell ref="A22:D22"/>
    <mergeCell ref="A26:D26"/>
    <mergeCell ref="A27:D27"/>
    <mergeCell ref="A31:D31"/>
    <mergeCell ref="A32:D32"/>
    <mergeCell ref="A52:D52"/>
    <mergeCell ref="A56:D56"/>
    <mergeCell ref="A57:D57"/>
    <mergeCell ref="A79:D79"/>
    <mergeCell ref="A36:D36"/>
    <mergeCell ref="A37:D37"/>
    <mergeCell ref="A41:D41"/>
    <mergeCell ref="A42:D42"/>
    <mergeCell ref="A46:D46"/>
    <mergeCell ref="A47:D47"/>
    <mergeCell ref="A51:D51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  <tableParts count="10"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4" width="12.29"/>
  </cols>
  <sheetData>
    <row r="1" ht="93.75" customHeight="1">
      <c r="A1" s="1"/>
      <c r="B1" s="2"/>
      <c r="C1" s="2"/>
      <c r="D1" s="3"/>
    </row>
    <row r="2" ht="18.75" customHeight="1">
      <c r="A2" s="4"/>
      <c r="B2" s="4"/>
      <c r="C2" s="5"/>
      <c r="D2" s="5"/>
    </row>
    <row r="3" ht="18.75" customHeight="1">
      <c r="A3" s="6" t="s">
        <v>0</v>
      </c>
      <c r="B3" s="7"/>
      <c r="C3" s="8" t="str">
        <f>'Shopping List'!A19</f>
        <v>Lamb Grind</v>
      </c>
      <c r="D3" s="7"/>
    </row>
    <row r="4" ht="18.75" customHeight="1">
      <c r="A4" s="9" t="s">
        <v>1</v>
      </c>
      <c r="B4" s="10"/>
      <c r="C4" s="11" t="str">
        <f>'Menu 1 - Duck'!C4</f>
        <v>Puppy Development</v>
      </c>
      <c r="D4" s="12"/>
    </row>
    <row r="5" ht="18.75" customHeight="1">
      <c r="A5" s="13" t="s">
        <v>3</v>
      </c>
      <c r="B5" s="10"/>
      <c r="C5" s="75" t="str">
        <f>'Menu 1 - Duck'!C5</f>
        <v/>
      </c>
      <c r="D5" s="74" t="str">
        <f>'Menu 1 - Duck'!D5</f>
        <v>LB</v>
      </c>
    </row>
    <row r="6" ht="18.75" customHeight="1">
      <c r="A6" s="13" t="s">
        <v>5</v>
      </c>
      <c r="B6" s="10"/>
      <c r="C6" s="76" t="str">
        <f>'Menu 1 - Duck'!C6</f>
        <v/>
      </c>
      <c r="D6" s="10"/>
    </row>
    <row r="7" ht="18.75" customHeight="1">
      <c r="A7" s="13" t="s">
        <v>6</v>
      </c>
      <c r="B7" s="10"/>
      <c r="C7" s="18">
        <f>'Menu 1 - Duck'!C7</f>
        <v>0</v>
      </c>
      <c r="D7" s="19" t="str">
        <f>'Menu 1 - Duck'!D7</f>
        <v>OZ</v>
      </c>
    </row>
    <row r="8" ht="18.75" customHeight="1">
      <c r="A8" s="13" t="s">
        <v>7</v>
      </c>
      <c r="B8" s="10"/>
      <c r="C8" s="20" t="str">
        <f t="shared" ref="C8:C9" si="1">SUM(B14+B19+B24+B29+B34+B39+B44+B49+B54+B59+B64)</f>
        <v>#VALUE!</v>
      </c>
      <c r="D8" s="21" t="s">
        <v>8</v>
      </c>
    </row>
    <row r="9" ht="18.75" customHeight="1">
      <c r="A9" s="22" t="s">
        <v>9</v>
      </c>
      <c r="B9" s="7"/>
      <c r="C9" s="23">
        <f t="shared" si="1"/>
        <v>0</v>
      </c>
      <c r="D9" s="19" t="s">
        <v>10</v>
      </c>
    </row>
    <row r="10" ht="18.75" customHeight="1">
      <c r="A10" s="24"/>
      <c r="B10" s="24"/>
      <c r="C10" s="25"/>
      <c r="D10" s="24"/>
    </row>
    <row r="11" ht="18.75" customHeight="1">
      <c r="A11" s="26" t="str">
        <f>'Shopping List'!A19</f>
        <v>Lamb Grind</v>
      </c>
      <c r="B11" s="2"/>
      <c r="C11" s="2"/>
      <c r="D11" s="3"/>
    </row>
    <row r="12" ht="18.75" customHeight="1">
      <c r="A12" s="27" t="s">
        <v>11</v>
      </c>
      <c r="B12" s="2"/>
      <c r="C12" s="2"/>
      <c r="D12" s="3"/>
    </row>
    <row r="13" ht="18.75" customHeight="1">
      <c r="A13" s="28"/>
      <c r="B13" s="29">
        <f>SUM(B14/28.35)</f>
        <v>0</v>
      </c>
      <c r="C13" s="30" t="str">
        <f t="shared" ref="C13:C15" si="2">D7</f>
        <v>OZ</v>
      </c>
      <c r="D13" s="31"/>
    </row>
    <row r="14" ht="18.75" customHeight="1">
      <c r="A14" s="32"/>
      <c r="B14" s="33">
        <f>SUM(212.5)*(C7/20.46)</f>
        <v>0</v>
      </c>
      <c r="C14" s="34" t="str">
        <f t="shared" si="2"/>
        <v>G</v>
      </c>
      <c r="D14" s="35"/>
    </row>
    <row r="15" ht="18.75" customHeight="1">
      <c r="A15" s="32"/>
      <c r="B15" s="33">
        <f>SUM((D99/1000)*B14)</f>
        <v>0</v>
      </c>
      <c r="C15" s="36" t="str">
        <f t="shared" si="2"/>
        <v>KCAL</v>
      </c>
      <c r="D15" s="35"/>
    </row>
    <row r="16" ht="18.75" customHeight="1">
      <c r="A16" s="26" t="str">
        <f>'Shopping List'!A31</f>
        <v>Chicken Ribcages, whole or ground; or Duck Frames</v>
      </c>
      <c r="B16" s="2"/>
      <c r="C16" s="2"/>
      <c r="D16" s="3"/>
    </row>
    <row r="17" ht="18.75" customHeight="1">
      <c r="A17" s="27" t="s">
        <v>32</v>
      </c>
      <c r="B17" s="2"/>
      <c r="C17" s="2"/>
      <c r="D17" s="3"/>
    </row>
    <row r="18" ht="18.75" customHeight="1">
      <c r="A18" s="37"/>
      <c r="B18" s="29">
        <f>SUM(B19/28.35)</f>
        <v>0</v>
      </c>
      <c r="C18" s="38" t="str">
        <f t="shared" ref="C18:C20" si="3">D7</f>
        <v>OZ</v>
      </c>
      <c r="D18" s="31"/>
    </row>
    <row r="19" ht="18.75" customHeight="1">
      <c r="A19" s="39"/>
      <c r="B19" s="33">
        <f>SUM(90)*(C7/20.46)</f>
        <v>0</v>
      </c>
      <c r="C19" s="34" t="str">
        <f t="shared" si="3"/>
        <v>G</v>
      </c>
      <c r="D19" s="35"/>
    </row>
    <row r="20" ht="18.75" customHeight="1">
      <c r="A20" s="39"/>
      <c r="B20" s="33">
        <f>B19*2.02</f>
        <v>0</v>
      </c>
      <c r="C20" s="40" t="str">
        <f t="shared" si="3"/>
        <v>KCAL</v>
      </c>
      <c r="D20" s="35"/>
    </row>
    <row r="21" ht="18.75" customHeight="1">
      <c r="A21" s="26" t="str">
        <f>'Shopping List'!A22</f>
        <v>Green Tripe, whole or ground</v>
      </c>
      <c r="B21" s="2"/>
      <c r="C21" s="2"/>
      <c r="D21" s="3"/>
    </row>
    <row r="22" ht="18.75" customHeight="1">
      <c r="A22" s="27" t="s">
        <v>12</v>
      </c>
      <c r="B22" s="2"/>
      <c r="C22" s="2"/>
      <c r="D22" s="3"/>
    </row>
    <row r="23" ht="18.75" customHeight="1">
      <c r="A23" s="37"/>
      <c r="B23" s="29">
        <f>SUM(B24/28.35)</f>
        <v>0</v>
      </c>
      <c r="C23" s="38" t="str">
        <f t="shared" ref="C23:C25" si="4">D7</f>
        <v>OZ</v>
      </c>
      <c r="D23" s="31"/>
    </row>
    <row r="24" ht="18.75" customHeight="1">
      <c r="A24" s="39"/>
      <c r="B24" s="33">
        <f>'Menu 1 - Duck'!B19</f>
        <v>0</v>
      </c>
      <c r="C24" s="34" t="str">
        <f t="shared" si="4"/>
        <v>G</v>
      </c>
      <c r="D24" s="35"/>
    </row>
    <row r="25" ht="18.75" customHeight="1">
      <c r="A25" s="39"/>
      <c r="B25" s="33">
        <f>B24*2.25</f>
        <v>0</v>
      </c>
      <c r="C25" s="40" t="str">
        <f t="shared" si="4"/>
        <v>KCAL</v>
      </c>
      <c r="D25" s="35"/>
    </row>
    <row r="26" ht="18.75" customHeight="1">
      <c r="A26" s="26" t="str">
        <f>'Shopping List'!A34</f>
        <v>Monster Mash</v>
      </c>
      <c r="B26" s="2"/>
      <c r="C26" s="2"/>
      <c r="D26" s="3"/>
    </row>
    <row r="27" ht="18.75" customHeight="1">
      <c r="A27" s="27" t="s">
        <v>41</v>
      </c>
      <c r="B27" s="2"/>
      <c r="C27" s="2"/>
      <c r="D27" s="3"/>
    </row>
    <row r="28" ht="18.75" customHeight="1">
      <c r="A28" s="37"/>
      <c r="B28" s="29">
        <f>SUM(B29/28.35)</f>
        <v>0</v>
      </c>
      <c r="C28" s="38" t="str">
        <f t="shared" ref="C28:C30" si="5">D7</f>
        <v>OZ</v>
      </c>
      <c r="D28" s="31"/>
    </row>
    <row r="29" ht="18.75" customHeight="1">
      <c r="A29" s="39"/>
      <c r="B29" s="33">
        <f>'Menu 1 - Duck'!B29</f>
        <v>0</v>
      </c>
      <c r="C29" s="34" t="str">
        <f t="shared" si="5"/>
        <v>G</v>
      </c>
      <c r="D29" s="35"/>
    </row>
    <row r="30" ht="18.75" customHeight="1">
      <c r="A30" s="39"/>
      <c r="B30" s="33">
        <f>SUM( B29*1.185)</f>
        <v>0</v>
      </c>
      <c r="C30" s="40" t="str">
        <f t="shared" si="5"/>
        <v>KCAL</v>
      </c>
      <c r="D30" s="35"/>
    </row>
    <row r="31" ht="18.75" customHeight="1">
      <c r="A31" s="26" t="str">
        <f>'Shopping List'!A43</f>
        <v>Thread Herring, whole or ground</v>
      </c>
      <c r="B31" s="2"/>
      <c r="C31" s="2"/>
      <c r="D31" s="3"/>
    </row>
    <row r="32" ht="18.75" customHeight="1">
      <c r="A32" s="27" t="s">
        <v>14</v>
      </c>
      <c r="B32" s="2"/>
      <c r="C32" s="2"/>
      <c r="D32" s="3"/>
    </row>
    <row r="33" ht="18.75" customHeight="1">
      <c r="A33" s="37"/>
      <c r="B33" s="29">
        <f>SUM(B34/28.35)</f>
        <v>0</v>
      </c>
      <c r="C33" s="38" t="str">
        <f t="shared" ref="C33:C35" si="6">D7</f>
        <v>OZ</v>
      </c>
      <c r="D33" s="31"/>
    </row>
    <row r="34" ht="18.75" customHeight="1">
      <c r="A34" s="39"/>
      <c r="B34" s="33">
        <f>'Menu 1 - Duck'!B34</f>
        <v>0</v>
      </c>
      <c r="C34" s="34" t="str">
        <f t="shared" si="6"/>
        <v>G</v>
      </c>
      <c r="D34" s="35"/>
    </row>
    <row r="35" ht="18.75" customHeight="1">
      <c r="A35" s="39"/>
      <c r="B35" s="33">
        <f>B34*2.05</f>
        <v>0</v>
      </c>
      <c r="C35" s="40" t="str">
        <f t="shared" si="6"/>
        <v>KCAL</v>
      </c>
      <c r="D35" s="35"/>
    </row>
    <row r="36" ht="18.75" customHeight="1">
      <c r="A36" s="26" t="str">
        <f>'Shopping List'!A53</f>
        <v>Raw Feeding Miami</v>
      </c>
      <c r="B36" s="2"/>
      <c r="C36" s="2"/>
      <c r="D36" s="3"/>
    </row>
    <row r="37" ht="18.75" customHeight="1">
      <c r="A37" s="27" t="s">
        <v>33</v>
      </c>
      <c r="B37" s="2"/>
      <c r="C37" s="2"/>
      <c r="D37" s="3"/>
    </row>
    <row r="38" ht="18.75" customHeight="1">
      <c r="A38" s="37"/>
      <c r="B38" s="29">
        <f>SUM(B39/28.35)</f>
        <v>0</v>
      </c>
      <c r="C38" s="38" t="str">
        <f t="shared" ref="C38:C40" si="7">D7</f>
        <v>OZ</v>
      </c>
      <c r="D38" s="31"/>
    </row>
    <row r="39" ht="18.75" customHeight="1">
      <c r="A39" s="39"/>
      <c r="B39" s="33">
        <f>'Menu 1 - Duck'!B39</f>
        <v>0</v>
      </c>
      <c r="C39" s="34" t="str">
        <f t="shared" si="7"/>
        <v>G</v>
      </c>
      <c r="D39" s="35"/>
    </row>
    <row r="40" ht="18.75" customHeight="1">
      <c r="A40" s="39"/>
      <c r="B40" s="33">
        <f>B39*0.4</f>
        <v>0</v>
      </c>
      <c r="C40" s="40" t="str">
        <f t="shared" si="7"/>
        <v>KCAL</v>
      </c>
      <c r="D40" s="35"/>
    </row>
    <row r="41" ht="18.75" customHeight="1">
      <c r="A41" s="44" t="str">
        <f>'Shopping List'!A61</f>
        <v>Hempseed Oil</v>
      </c>
      <c r="B41" s="2"/>
      <c r="C41" s="2"/>
      <c r="D41" s="3"/>
    </row>
    <row r="42" ht="18.75" customHeight="1">
      <c r="A42" s="27" t="s">
        <v>16</v>
      </c>
      <c r="B42" s="2"/>
      <c r="C42" s="2"/>
      <c r="D42" s="3"/>
    </row>
    <row r="43" ht="18.75" customHeight="1">
      <c r="A43" s="37"/>
      <c r="B43" s="29">
        <f>B44</f>
        <v>0</v>
      </c>
      <c r="C43" s="30" t="s">
        <v>17</v>
      </c>
      <c r="D43" s="31"/>
    </row>
    <row r="44" ht="18.75" customHeight="1">
      <c r="A44" s="39"/>
      <c r="B44" s="33">
        <f>SUM(3.75)*(C7/20.46)</f>
        <v>0</v>
      </c>
      <c r="C44" s="34" t="str">
        <f t="shared" ref="C44:C45" si="8">D8</f>
        <v>G</v>
      </c>
      <c r="D44" s="35"/>
    </row>
    <row r="45" ht="18.75" customHeight="1">
      <c r="A45" s="39"/>
      <c r="B45" s="33">
        <f>SUM(B44)*8.666</f>
        <v>0</v>
      </c>
      <c r="C45" s="40" t="str">
        <f t="shared" si="8"/>
        <v>KCAL</v>
      </c>
      <c r="D45" s="35"/>
    </row>
    <row r="46" ht="18.75" customHeight="1">
      <c r="A46" s="96" t="str">
        <f>'Shopping List'!A55</f>
        <v>Large Chicken Egg, no shell</v>
      </c>
      <c r="B46" s="2"/>
      <c r="C46" s="2"/>
      <c r="D46" s="3"/>
    </row>
    <row r="47" ht="18.75" customHeight="1">
      <c r="A47" s="27" t="s">
        <v>42</v>
      </c>
      <c r="B47" s="2"/>
      <c r="C47" s="2"/>
      <c r="D47" s="3"/>
    </row>
    <row r="48" ht="18.75" customHeight="1">
      <c r="A48" s="37"/>
      <c r="B48" s="29">
        <f>B49/50</f>
        <v>0</v>
      </c>
      <c r="C48" s="30" t="s">
        <v>43</v>
      </c>
      <c r="D48" s="31"/>
    </row>
    <row r="49" ht="18.75" customHeight="1">
      <c r="A49" s="39"/>
      <c r="B49" s="33">
        <f>SUM(50)*(C7/20.46)</f>
        <v>0</v>
      </c>
      <c r="C49" s="34" t="str">
        <f t="shared" ref="C49:C50" si="9">D8</f>
        <v>G</v>
      </c>
      <c r="D49" s="35"/>
    </row>
    <row r="50" ht="18.75" customHeight="1">
      <c r="A50" s="39"/>
      <c r="B50" s="33">
        <f>B48*71.5</f>
        <v>0</v>
      </c>
      <c r="C50" s="40" t="str">
        <f t="shared" si="9"/>
        <v>KCAL</v>
      </c>
      <c r="D50" s="35"/>
    </row>
    <row r="51" ht="18.75" customHeight="1">
      <c r="A51" s="44" t="str">
        <f>'Menu 1 - Duck'!A46</f>
        <v/>
      </c>
      <c r="B51" s="2"/>
      <c r="C51" s="2"/>
      <c r="D51" s="3"/>
    </row>
    <row r="52" ht="18.75" customHeight="1">
      <c r="A52" s="27" t="s">
        <v>24</v>
      </c>
      <c r="B52" s="2"/>
      <c r="C52" s="2"/>
      <c r="D52" s="3"/>
    </row>
    <row r="53" ht="18.75" customHeight="1">
      <c r="A53" s="37"/>
      <c r="B53" s="29" t="str">
        <f t="shared" ref="B53:C53" si="10">B54</f>
        <v>error</v>
      </c>
      <c r="C53" s="30" t="str">
        <f t="shared" si="10"/>
        <v>error</v>
      </c>
      <c r="D53" s="31"/>
    </row>
    <row r="54" ht="18.75" customHeight="1">
      <c r="A54" s="39"/>
      <c r="B54" s="33" t="str">
        <f>'Menu 1 - Duck'!B49</f>
        <v>error</v>
      </c>
      <c r="C54" s="34" t="str">
        <f>'Menu 1 - Duck'!C49</f>
        <v>error</v>
      </c>
      <c r="D54" s="35"/>
    </row>
    <row r="55" ht="18.75" customHeight="1">
      <c r="A55" s="39"/>
      <c r="B55" s="33">
        <v>0.0</v>
      </c>
      <c r="C55" s="40" t="str">
        <f>D9</f>
        <v>KCAL</v>
      </c>
      <c r="D55" s="35"/>
    </row>
    <row r="56" ht="18.75" customHeight="1">
      <c r="A56" s="44" t="str">
        <f>'Shopping List'!A70</f>
        <v>NOW Vitamin E (31.6IU/drop)</v>
      </c>
      <c r="B56" s="2"/>
      <c r="C56" s="2"/>
      <c r="D56" s="3"/>
    </row>
    <row r="57" ht="18.75" customHeight="1">
      <c r="A57" s="27" t="s">
        <v>24</v>
      </c>
      <c r="B57" s="2"/>
      <c r="C57" s="2"/>
      <c r="D57" s="3"/>
    </row>
    <row r="58" ht="18.75" customHeight="1">
      <c r="A58" s="97"/>
      <c r="B58" s="98">
        <f>B59</f>
        <v>0</v>
      </c>
      <c r="C58" s="99" t="s">
        <v>19</v>
      </c>
      <c r="D58" s="100"/>
    </row>
    <row r="59" ht="18.75" customHeight="1">
      <c r="A59" s="101"/>
      <c r="B59" s="102">
        <f>'Menu 1 - Duck'!B53</f>
        <v>0</v>
      </c>
      <c r="C59" s="103" t="str">
        <f>C58</f>
        <v>DROP</v>
      </c>
      <c r="D59" s="104"/>
    </row>
    <row r="60" ht="18.75" customHeight="1">
      <c r="A60" s="105"/>
      <c r="B60" s="106">
        <f>SUM(0)</f>
        <v>0</v>
      </c>
      <c r="C60" s="107" t="str">
        <f>D9</f>
        <v>KCAL</v>
      </c>
      <c r="D60" s="108"/>
    </row>
    <row r="61" ht="18.75" customHeight="1">
      <c r="A61" s="109" t="str">
        <f>'Menu 1 - Duck'!A56</f>
        <v/>
      </c>
      <c r="B61" s="110"/>
      <c r="C61" s="110"/>
      <c r="D61" s="111"/>
    </row>
    <row r="62" ht="18.75" customHeight="1">
      <c r="A62" s="27" t="s">
        <v>24</v>
      </c>
      <c r="B62" s="2"/>
      <c r="C62" s="2"/>
      <c r="D62" s="3"/>
    </row>
    <row r="63" ht="18.75" customHeight="1">
      <c r="A63" s="37"/>
      <c r="B63" s="29" t="str">
        <f>'Menu 1 - Duck'!B58</f>
        <v>error</v>
      </c>
      <c r="C63" s="30" t="str">
        <f>'Menu 1 - Duck'!C58</f>
        <v>error</v>
      </c>
      <c r="D63" s="31"/>
    </row>
    <row r="64" ht="18.75" customHeight="1">
      <c r="A64" s="39"/>
      <c r="B64" s="33" t="str">
        <f>'Menu 1 - Duck'!B59</f>
        <v>error</v>
      </c>
      <c r="C64" s="34" t="str">
        <f>'Menu 1 - Duck'!C59</f>
        <v>error</v>
      </c>
      <c r="D64" s="35"/>
    </row>
    <row r="65" ht="18.75" customHeight="1">
      <c r="A65" s="39"/>
      <c r="B65" s="33">
        <f>'Menu 1 - Duck'!B60</f>
        <v>0</v>
      </c>
      <c r="C65" s="40" t="str">
        <f>'Menu 1 - Duck'!C60</f>
        <v>KCAL</v>
      </c>
      <c r="D65" s="35"/>
    </row>
    <row r="66" ht="15.75" customHeight="1">
      <c r="A66" s="77"/>
      <c r="B66" s="78"/>
      <c r="C66" s="78"/>
      <c r="D66" s="78"/>
    </row>
    <row r="67" ht="15.75" customHeight="1">
      <c r="A67" s="112" t="s">
        <v>44</v>
      </c>
      <c r="B67" s="80"/>
      <c r="C67" s="80"/>
      <c r="D67" s="80"/>
    </row>
    <row r="68" ht="15.75" customHeight="1">
      <c r="A68" s="77"/>
      <c r="B68" s="78"/>
      <c r="C68" s="78"/>
      <c r="D68" s="78"/>
    </row>
    <row r="69" ht="15.75" customHeight="1">
      <c r="A69" s="77"/>
      <c r="B69" s="78"/>
      <c r="C69" s="78"/>
      <c r="D69" s="78"/>
    </row>
    <row r="70" ht="15.75" customHeight="1">
      <c r="A70" s="77"/>
      <c r="B70" s="78"/>
      <c r="C70" s="78"/>
      <c r="D70" s="78"/>
    </row>
    <row r="71" ht="15.75" customHeight="1">
      <c r="A71" s="77"/>
      <c r="B71" s="78"/>
      <c r="C71" s="78"/>
      <c r="D71" s="78"/>
    </row>
    <row r="72" ht="15.75" customHeight="1">
      <c r="A72" s="77"/>
      <c r="B72" s="78"/>
      <c r="C72" s="78"/>
      <c r="D72" s="78"/>
    </row>
    <row r="73" ht="15.75" customHeight="1">
      <c r="A73" s="77"/>
      <c r="B73" s="78"/>
      <c r="C73" s="78"/>
      <c r="D73" s="78"/>
    </row>
    <row r="74" ht="15.75" customHeight="1">
      <c r="A74" s="77"/>
      <c r="B74" s="78"/>
      <c r="C74" s="78"/>
      <c r="D74" s="78"/>
    </row>
    <row r="75" ht="15.75" customHeight="1">
      <c r="A75" s="77"/>
      <c r="B75" s="78"/>
      <c r="C75" s="78"/>
      <c r="D75" s="78"/>
    </row>
    <row r="76" ht="15.75" customHeight="1">
      <c r="A76" s="77"/>
      <c r="B76" s="78"/>
      <c r="C76" s="78"/>
      <c r="D76" s="78"/>
    </row>
    <row r="77" ht="15.75" customHeight="1">
      <c r="A77" s="52"/>
      <c r="B77" s="113" t="s">
        <v>12</v>
      </c>
      <c r="C77" s="114">
        <f>sum(B14-(B14*0.2))+B24+B49</f>
        <v>0</v>
      </c>
      <c r="D77" s="115" t="str">
        <f>C14</f>
        <v>G</v>
      </c>
    </row>
    <row r="78" ht="15.75" customHeight="1">
      <c r="A78" s="56"/>
      <c r="B78" s="116" t="s">
        <v>21</v>
      </c>
      <c r="C78" s="117">
        <f>sum(B19*0.8)+( B14*0.1)</f>
        <v>0</v>
      </c>
      <c r="D78" s="118" t="str">
        <f>C14</f>
        <v>G</v>
      </c>
    </row>
    <row r="79" ht="15.75" customHeight="1">
      <c r="A79" s="60"/>
      <c r="B79" s="119" t="s">
        <v>22</v>
      </c>
      <c r="C79" s="120">
        <f>sum(B14*0.1)+B29</f>
        <v>0</v>
      </c>
      <c r="D79" s="121" t="s">
        <v>8</v>
      </c>
    </row>
    <row r="80" ht="15.75" customHeight="1">
      <c r="A80" s="62"/>
      <c r="B80" s="116" t="s">
        <v>23</v>
      </c>
      <c r="C80" s="120">
        <f>B39</f>
        <v>0</v>
      </c>
      <c r="D80" s="118" t="str">
        <f>C14</f>
        <v>G</v>
      </c>
    </row>
    <row r="81" ht="15.75" customHeight="1">
      <c r="A81" s="122"/>
      <c r="B81" s="119" t="s">
        <v>14</v>
      </c>
      <c r="C81" s="120">
        <f>B34</f>
        <v>0</v>
      </c>
      <c r="D81" s="118" t="str">
        <f>C14</f>
        <v>G</v>
      </c>
    </row>
    <row r="82" ht="15.75" customHeight="1">
      <c r="A82" s="89"/>
      <c r="B82" s="123" t="s">
        <v>24</v>
      </c>
      <c r="C82" s="124" t="str">
        <f>sum(B59+B64+B54)</f>
        <v>#VALUE!</v>
      </c>
      <c r="D82" s="125" t="str">
        <f>C14</f>
        <v>G</v>
      </c>
    </row>
    <row r="83" ht="15.75" customHeight="1">
      <c r="A83" s="77"/>
      <c r="B83" s="49"/>
      <c r="C83" s="49"/>
      <c r="D83" s="49"/>
    </row>
    <row r="84" ht="15.75" customHeight="1">
      <c r="A84" s="112" t="s">
        <v>45</v>
      </c>
      <c r="B84" s="80"/>
      <c r="C84" s="80"/>
      <c r="D84" s="80"/>
    </row>
    <row r="85" ht="15.75" customHeight="1">
      <c r="A85" s="77"/>
      <c r="B85" s="78"/>
      <c r="C85" s="78"/>
      <c r="D85" s="78"/>
    </row>
    <row r="86" ht="15.75" customHeight="1">
      <c r="A86" s="77"/>
      <c r="B86" s="78"/>
      <c r="C86" s="78"/>
      <c r="D86" s="78"/>
    </row>
    <row r="87" ht="15.75" customHeight="1">
      <c r="A87" s="77"/>
      <c r="B87" s="78"/>
      <c r="C87" s="78"/>
      <c r="D87" s="78"/>
    </row>
    <row r="88" ht="15.75" customHeight="1">
      <c r="A88" s="77"/>
      <c r="B88" s="78"/>
      <c r="C88" s="78"/>
      <c r="D88" s="78"/>
    </row>
    <row r="89" ht="15.75" customHeight="1">
      <c r="A89" s="77"/>
      <c r="B89" s="78"/>
      <c r="C89" s="78"/>
      <c r="D89" s="78"/>
    </row>
    <row r="90" ht="15.75" customHeight="1">
      <c r="A90" s="77"/>
      <c r="B90" s="78"/>
      <c r="C90" s="78"/>
      <c r="D90" s="78"/>
    </row>
    <row r="91" ht="15.75" customHeight="1">
      <c r="A91" s="77"/>
      <c r="B91" s="78"/>
      <c r="C91" s="78"/>
      <c r="D91" s="78"/>
    </row>
    <row r="92" ht="15.75" customHeight="1">
      <c r="A92" s="77"/>
      <c r="B92" s="78"/>
      <c r="C92" s="78"/>
      <c r="D92" s="78"/>
    </row>
    <row r="93" ht="15.75" customHeight="1">
      <c r="A93" s="77"/>
      <c r="B93" s="78"/>
      <c r="C93" s="78"/>
      <c r="D93" s="78"/>
    </row>
    <row r="94" ht="15.75" customHeight="1">
      <c r="A94" s="52"/>
      <c r="B94" s="69" t="s">
        <v>46</v>
      </c>
      <c r="C94" s="126"/>
      <c r="D94" s="127">
        <v>0.19</v>
      </c>
    </row>
    <row r="95" ht="15.75" customHeight="1">
      <c r="A95" s="56"/>
      <c r="B95" s="128" t="s">
        <v>47</v>
      </c>
      <c r="C95" s="129"/>
      <c r="D95" s="130">
        <v>0.09</v>
      </c>
    </row>
    <row r="96" ht="15.75" customHeight="1">
      <c r="A96" s="60"/>
      <c r="B96" s="128" t="s">
        <v>48</v>
      </c>
      <c r="C96" s="129"/>
      <c r="D96" s="130">
        <v>0.0</v>
      </c>
    </row>
    <row r="97" ht="15.75" customHeight="1">
      <c r="A97" s="62"/>
      <c r="B97" s="128" t="s">
        <v>49</v>
      </c>
      <c r="C97" s="129"/>
      <c r="D97" s="130">
        <v>0.03</v>
      </c>
    </row>
    <row r="98" ht="15.75" customHeight="1">
      <c r="A98" s="122"/>
      <c r="B98" s="131" t="s">
        <v>50</v>
      </c>
      <c r="C98" s="129"/>
      <c r="D98" s="130">
        <v>0.7</v>
      </c>
    </row>
    <row r="99" ht="15.75" customHeight="1">
      <c r="A99" s="72"/>
      <c r="B99" s="132" t="s">
        <v>31</v>
      </c>
      <c r="C99" s="133"/>
      <c r="D99" s="134">
        <v>1530.0</v>
      </c>
    </row>
  </sheetData>
  <mergeCells count="33">
    <mergeCell ref="A1:D1"/>
    <mergeCell ref="A3:B3"/>
    <mergeCell ref="C3:D3"/>
    <mergeCell ref="A4:B4"/>
    <mergeCell ref="C4:D4"/>
    <mergeCell ref="A5:B5"/>
    <mergeCell ref="C6:D6"/>
    <mergeCell ref="A6:B6"/>
    <mergeCell ref="A7:B7"/>
    <mergeCell ref="A8:B8"/>
    <mergeCell ref="A9:B9"/>
    <mergeCell ref="A11:D11"/>
    <mergeCell ref="A12:D12"/>
    <mergeCell ref="A16:D16"/>
    <mergeCell ref="A17:D17"/>
    <mergeCell ref="A21:D21"/>
    <mergeCell ref="A22:D22"/>
    <mergeCell ref="A26:D26"/>
    <mergeCell ref="A27:D27"/>
    <mergeCell ref="A31:D31"/>
    <mergeCell ref="A32:D32"/>
    <mergeCell ref="A52:D52"/>
    <mergeCell ref="A56:D56"/>
    <mergeCell ref="A57:D57"/>
    <mergeCell ref="A61:D61"/>
    <mergeCell ref="A62:D62"/>
    <mergeCell ref="A36:D36"/>
    <mergeCell ref="A37:D37"/>
    <mergeCell ref="A41:D41"/>
    <mergeCell ref="A42:D42"/>
    <mergeCell ref="A46:D46"/>
    <mergeCell ref="A47:D47"/>
    <mergeCell ref="A51:D51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  <tableParts count="10"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4" width="12.29"/>
  </cols>
  <sheetData>
    <row r="1" ht="93.75" customHeight="1">
      <c r="A1" s="135"/>
    </row>
    <row r="2" ht="18.75" customHeight="1">
      <c r="A2" s="5"/>
      <c r="B2" s="5"/>
      <c r="C2" s="5"/>
      <c r="D2" s="5"/>
    </row>
    <row r="3" ht="18.75" customHeight="1">
      <c r="A3" s="136" t="s">
        <v>51</v>
      </c>
      <c r="B3" s="48"/>
      <c r="C3" s="48"/>
      <c r="D3" s="48"/>
    </row>
    <row r="4" ht="18.75" customHeight="1">
      <c r="A4" s="137" t="s">
        <v>52</v>
      </c>
      <c r="B4" s="138"/>
      <c r="C4" s="139">
        <v>3.0</v>
      </c>
      <c r="D4" s="140"/>
    </row>
    <row r="5" ht="18.75" customHeight="1">
      <c r="A5" s="141" t="s">
        <v>53</v>
      </c>
      <c r="B5" s="93"/>
      <c r="C5" s="142">
        <v>30.0</v>
      </c>
      <c r="D5" s="10"/>
    </row>
    <row r="6" ht="18.75" customHeight="1">
      <c r="A6" s="141" t="s">
        <v>54</v>
      </c>
      <c r="B6" s="93"/>
      <c r="C6" s="143">
        <f>SUM(C13+C16+C19+C22+C25+C28+C31+C34+C37+C40+C43+C46+C49+C52+((('Menu 3 - Lamb'!B49/28.35)*( C5/C4))/16))</f>
        <v>0</v>
      </c>
      <c r="D6" s="10"/>
    </row>
    <row r="7" ht="18.75" customHeight="1">
      <c r="A7" s="141" t="s">
        <v>55</v>
      </c>
      <c r="B7" s="93"/>
      <c r="C7" s="144" t="str">
        <f>SUM(C9/C6)</f>
        <v>#VALUE!</v>
      </c>
      <c r="D7" s="10"/>
    </row>
    <row r="8" ht="18.75" customHeight="1">
      <c r="A8" s="141" t="s">
        <v>56</v>
      </c>
      <c r="B8" s="93"/>
      <c r="C8" s="144" t="str">
        <f>SUM(C63+C66+C69+C72+C75)</f>
        <v>#VALUE!</v>
      </c>
      <c r="D8" s="10"/>
    </row>
    <row r="9" ht="18.75" customHeight="1">
      <c r="A9" s="141" t="s">
        <v>57</v>
      </c>
      <c r="B9" s="93"/>
      <c r="C9" s="144" t="str">
        <f>SUM(C15+C18+C21+C24+C27+C30+C33+C36+C39+C42+C45+C48+C51+C54+C57)+C8</f>
        <v>#VALUE!</v>
      </c>
      <c r="D9" s="10"/>
    </row>
    <row r="10" ht="18.75" customHeight="1">
      <c r="A10" s="25"/>
      <c r="B10" s="145"/>
      <c r="C10" s="145"/>
      <c r="D10" s="145"/>
    </row>
    <row r="11" ht="18.75" customHeight="1">
      <c r="A11" s="146" t="s">
        <v>58</v>
      </c>
      <c r="B11" s="2"/>
      <c r="C11" s="2"/>
      <c r="D11" s="3"/>
    </row>
    <row r="12" ht="18.75" customHeight="1">
      <c r="A12" s="147" t="str">
        <f>CONCATENATE("Amount needed for ", SUM(C5), " days")</f>
        <v>Amount needed for 30 days</v>
      </c>
      <c r="B12" s="2"/>
      <c r="C12" s="2"/>
      <c r="D12" s="3"/>
    </row>
    <row r="13" ht="18.75" customHeight="1">
      <c r="A13" s="148" t="s">
        <v>59</v>
      </c>
      <c r="B13" s="149"/>
      <c r="C13" s="150">
        <f>IF( 'Menu 1 - Duck'!D5="LB",SUM(( 'Menu 1 - Duck'!B13)*(C5/C4))/16,SUM(( 'Menu 1 - Duck'!B14)*(C5/C4))/1000)</f>
        <v>0</v>
      </c>
      <c r="D13" s="151" t="str">
        <f>'Menu 1 - Duck'!D5</f>
        <v>LB</v>
      </c>
    </row>
    <row r="14" ht="18.75" customHeight="1">
      <c r="A14" s="152" t="s">
        <v>60</v>
      </c>
      <c r="B14" s="153"/>
      <c r="C14" s="153">
        <f>SUM(12.5/2.5)</f>
        <v>5</v>
      </c>
      <c r="D14" s="154" t="str">
        <f>CONCATENATE("/ ", 'Menu 1 - Duck'!D5)</f>
        <v>/ LB</v>
      </c>
    </row>
    <row r="15" ht="18.75" customHeight="1">
      <c r="A15" s="25"/>
      <c r="B15" s="25"/>
      <c r="C15" s="155">
        <f>SUM(C13*C14)</f>
        <v>0</v>
      </c>
      <c r="D15" s="25"/>
    </row>
    <row r="16" ht="18.75" customHeight="1">
      <c r="A16" s="148" t="s">
        <v>61</v>
      </c>
      <c r="B16" s="149"/>
      <c r="C16" s="150">
        <f>IF( 'Menu 1 - Duck'!D5="LB",SUM(( 'Menu 2 - Beef'!B13)*(C5/C4))/16,SUM(( 'Menu 2 - Beef'!B14)*(C5/C4))/1000)</f>
        <v>0</v>
      </c>
      <c r="D16" s="156" t="str">
        <f>D13</f>
        <v>LB</v>
      </c>
    </row>
    <row r="17" ht="18.75" customHeight="1">
      <c r="A17" s="152" t="s">
        <v>60</v>
      </c>
      <c r="B17" s="152"/>
      <c r="C17" s="153">
        <f>SUM(14.37/2.5)</f>
        <v>5.748</v>
      </c>
      <c r="D17" s="154" t="str">
        <f>CONCATENATE("/ ", 'Menu 1 - Duck'!D5)</f>
        <v>/ LB</v>
      </c>
    </row>
    <row r="18" ht="18.75" customHeight="1">
      <c r="A18" s="25"/>
      <c r="B18" s="25"/>
      <c r="C18" s="155">
        <f>SUM(C16*C17)</f>
        <v>0</v>
      </c>
      <c r="D18" s="155"/>
    </row>
    <row r="19" ht="30.0" customHeight="1">
      <c r="A19" s="148" t="s">
        <v>62</v>
      </c>
      <c r="B19" s="149"/>
      <c r="C19" s="150">
        <f>IF( 'Menu 1 - Duck'!D5="LB",SUM(( 'Menu 3 - Lamb'!B13)*(C5/C4))/16,SUM(( 'Menu 3 - Lamb'!B14)*(C5/C4))/1000)</f>
        <v>0</v>
      </c>
      <c r="D19" s="156" t="str">
        <f>'Menu 1 - Duck'!D5</f>
        <v>LB</v>
      </c>
    </row>
    <row r="20" ht="18.75" customHeight="1">
      <c r="A20" s="157" t="s">
        <v>60</v>
      </c>
      <c r="B20" s="157"/>
      <c r="C20" s="158">
        <f>SUM(13.75/2.5)</f>
        <v>5.5</v>
      </c>
      <c r="D20" s="159" t="str">
        <f>CONCATENATE("/ ", 'Menu 1 - Duck'!D5)</f>
        <v>/ LB</v>
      </c>
    </row>
    <row r="21" ht="18.75" customHeight="1">
      <c r="A21" s="160"/>
      <c r="B21" s="161"/>
      <c r="C21" s="155">
        <f>SUM(C19*C20)</f>
        <v>0</v>
      </c>
      <c r="D21" s="155"/>
    </row>
    <row r="22" ht="30.0" customHeight="1">
      <c r="A22" s="148" t="s">
        <v>63</v>
      </c>
      <c r="B22" s="149"/>
      <c r="C22" s="150">
        <f>IF( 'Menu 1 - Duck'!D5="LB",SUM(( 'Menu 1 - Duck'!B18)*(C5))/16,SUM(( 'Menu 1 - Duck'!B19)*(C5))/1000)</f>
        <v>0</v>
      </c>
      <c r="D22" s="156" t="str">
        <f>'Menu 1 - Duck'!D5</f>
        <v>LB</v>
      </c>
    </row>
    <row r="23" ht="18.75" customHeight="1">
      <c r="A23" s="157" t="s">
        <v>60</v>
      </c>
      <c r="B23" s="157"/>
      <c r="C23" s="158">
        <f>SUM(8.5/2.5)</f>
        <v>3.4</v>
      </c>
      <c r="D23" s="157" t="str">
        <f>CONCATENATE("/ ", 'Menu 1 - Duck'!D5)</f>
        <v>/ LB</v>
      </c>
    </row>
    <row r="24" ht="18.75" customHeight="1">
      <c r="A24" s="160"/>
      <c r="B24" s="161"/>
      <c r="C24" s="155">
        <f>SUM(C22*C23)</f>
        <v>0</v>
      </c>
      <c r="D24" s="155"/>
    </row>
    <row r="25" ht="30.0" customHeight="1">
      <c r="A25" s="148" t="s">
        <v>64</v>
      </c>
      <c r="B25" s="149"/>
      <c r="C25" s="150">
        <f>IF( 'Menu 1 - Duck'!D5="LB",SUM(( 'Menu 1 - Duck'!B23)*(C5/C4))/16,SUM(('Menu 1 - Duck'!B24)*(C5/C4))/1000)</f>
        <v>0</v>
      </c>
      <c r="D25" s="151" t="str">
        <f>'Menu 1 - Duck'!D5</f>
        <v>LB</v>
      </c>
    </row>
    <row r="26" ht="18.75" customHeight="1">
      <c r="A26" s="157" t="s">
        <v>60</v>
      </c>
      <c r="B26" s="157"/>
      <c r="C26" s="158">
        <f>SUM(7.5/2.5)</f>
        <v>3</v>
      </c>
      <c r="D26" s="157" t="str">
        <f>CONCATENATE("/ ", 'Menu 1 - Duck'!D5)</f>
        <v>/ LB</v>
      </c>
    </row>
    <row r="27" ht="18.75" customHeight="1">
      <c r="A27" s="160"/>
      <c r="B27" s="161"/>
      <c r="C27" s="155">
        <f>SUM(C25*C26)</f>
        <v>0</v>
      </c>
      <c r="D27" s="155"/>
    </row>
    <row r="28" ht="30.0" customHeight="1">
      <c r="A28" s="148" t="s">
        <v>65</v>
      </c>
      <c r="B28" s="149"/>
      <c r="C28" s="150">
        <f>IF( 'Menu 1 - Duck'!D5="LB",SUM(( 'Menu 2 - Beef'!B18)*(C5/C4))/16,SUM(( 'Menu 2 - Beef'!B19)*(C5/C4))/1000)</f>
        <v>0</v>
      </c>
      <c r="D28" s="151" t="str">
        <f>'Menu 1 - Duck'!D5</f>
        <v>LB</v>
      </c>
    </row>
    <row r="29" ht="18.75" customHeight="1">
      <c r="A29" s="157" t="s">
        <v>60</v>
      </c>
      <c r="B29" s="157"/>
      <c r="C29" s="158">
        <f>SUM(8.89/2.5)</f>
        <v>3.556</v>
      </c>
      <c r="D29" s="157" t="str">
        <f>CONCATENATE("/ ", 'Menu 1 - Duck'!D5)</f>
        <v>/ LB</v>
      </c>
    </row>
    <row r="30" ht="18.75" customHeight="1">
      <c r="A30" s="160"/>
      <c r="B30" s="161"/>
      <c r="C30" s="155">
        <f>SUM(C28*C29)</f>
        <v>0</v>
      </c>
      <c r="D30" s="155"/>
    </row>
    <row r="31" ht="30.0" customHeight="1">
      <c r="A31" s="148" t="s">
        <v>66</v>
      </c>
      <c r="B31" s="149"/>
      <c r="C31" s="150">
        <f>IF('Menu 1 - Duck'!D5="LB",SUM(( 'Menu 3 - Lamb'!B18)*(C5/C4))/16,SUM(( 'Menu 3 - Lamb'!B19)*(C5/C4))/1000)</f>
        <v>0</v>
      </c>
      <c r="D31" s="151" t="str">
        <f>'Menu 1 - Duck'!D5</f>
        <v>LB</v>
      </c>
    </row>
    <row r="32" ht="18.75" customHeight="1">
      <c r="A32" s="157" t="s">
        <v>60</v>
      </c>
      <c r="B32" s="157"/>
      <c r="C32" s="158">
        <f>SUM(5.99/2.5)</f>
        <v>2.396</v>
      </c>
      <c r="D32" s="157" t="str">
        <f>CONCATENATE("/ ", 'Menu 1 - Duck'!D5)</f>
        <v>/ LB</v>
      </c>
    </row>
    <row r="33" ht="18.75" customHeight="1">
      <c r="A33" s="160"/>
      <c r="B33" s="161"/>
      <c r="C33" s="155">
        <f>SUM(C31*C32)</f>
        <v>0</v>
      </c>
      <c r="D33" s="155"/>
    </row>
    <row r="34" ht="30.0" customHeight="1">
      <c r="A34" s="148" t="s">
        <v>67</v>
      </c>
      <c r="B34" s="149"/>
      <c r="C34" s="150">
        <f>IF('Menu 1 - Duck'!D5="LB",SUM(( 'Menu 1 - Duck'!B28)*(C5))/16,SUM(( 'Menu 1 - Duck'!B29)*(C5))/1000)</f>
        <v>0</v>
      </c>
      <c r="D34" s="151" t="str">
        <f>'Menu 1 - Duck'!D5</f>
        <v>LB</v>
      </c>
    </row>
    <row r="35" ht="18.75" customHeight="1">
      <c r="A35" s="157" t="s">
        <v>60</v>
      </c>
      <c r="B35" s="157"/>
      <c r="C35" s="158">
        <f>SUM(5.5)</f>
        <v>5.5</v>
      </c>
      <c r="D35" s="157" t="str">
        <f>CONCATENATE("/ ", 'Menu 1 - Duck'!D5)</f>
        <v>/ LB</v>
      </c>
    </row>
    <row r="36" ht="18.75" customHeight="1">
      <c r="A36" s="160"/>
      <c r="B36" s="161"/>
      <c r="C36" s="155">
        <f>SUM(C34*C35)</f>
        <v>0</v>
      </c>
      <c r="D36" s="155"/>
    </row>
    <row r="37" ht="30.0" customHeight="1">
      <c r="A37" s="148" t="s">
        <v>68</v>
      </c>
      <c r="B37" s="149"/>
      <c r="C37" s="150">
        <f>IF('Menu 1 - Duck'!D5="LB",SUM(( 'Menu 1 - Duck'!B33)*(C5/C4))/16,SUM(( 'Menu 1 - Duck'!B34)*(C5/C4))/1000)</f>
        <v>0</v>
      </c>
      <c r="D37" s="156" t="str">
        <f>'Menu 1 - Duck'!D5</f>
        <v>LB</v>
      </c>
    </row>
    <row r="38" ht="18.75" customHeight="1">
      <c r="A38" s="157" t="s">
        <v>60</v>
      </c>
      <c r="B38" s="157"/>
      <c r="C38" s="158">
        <f>SUM(11.5/2.5)</f>
        <v>4.6</v>
      </c>
      <c r="D38" s="157" t="str">
        <f>CONCATENATE("/ ", 'Menu 1 - Duck'!D5)</f>
        <v>/ LB</v>
      </c>
    </row>
    <row r="39" ht="18.75" customHeight="1">
      <c r="A39" s="160"/>
      <c r="B39" s="161"/>
      <c r="C39" s="155">
        <f>SUM(C37*C38)</f>
        <v>0</v>
      </c>
      <c r="D39" s="155"/>
    </row>
    <row r="40" ht="30.0" customHeight="1">
      <c r="A40" s="148" t="s">
        <v>69</v>
      </c>
      <c r="B40" s="149"/>
      <c r="C40" s="150">
        <f>IF('Menu 1 - Duck'!D5="LB",SUM(( 'Menu 2 - Beef'!B33)*(C5/C4))/16,SUM(( 'Menu 2 - Beef'!B34)*(C5/C4))/1000)</f>
        <v>0</v>
      </c>
      <c r="D40" s="156" t="str">
        <f>'Menu 1 - Duck'!D5</f>
        <v>LB</v>
      </c>
    </row>
    <row r="41" ht="18.75" customHeight="1">
      <c r="A41" s="157" t="s">
        <v>60</v>
      </c>
      <c r="B41" s="157"/>
      <c r="C41" s="158">
        <f>SUM(7/2.5)</f>
        <v>2.8</v>
      </c>
      <c r="D41" s="157" t="str">
        <f>CONCATENATE("/ ", 'Menu 1 - Duck'!D5)</f>
        <v>/ LB</v>
      </c>
    </row>
    <row r="42" ht="18.75" customHeight="1">
      <c r="A42" s="160"/>
      <c r="B42" s="161"/>
      <c r="C42" s="155">
        <f>SUM(C40*C41)</f>
        <v>0</v>
      </c>
      <c r="D42" s="155"/>
    </row>
    <row r="43" ht="30.0" customHeight="1">
      <c r="A43" s="148" t="s">
        <v>70</v>
      </c>
      <c r="B43" s="149"/>
      <c r="C43" s="150">
        <f>IF('Menu 1 - Duck'!D5="LB",SUM(( 'Menu 3 - Lamb'!B33)*(C5/C4))/16,SUM(( 'Menu 3 - Lamb'!B34)*(C5/C4))/1000)</f>
        <v>0</v>
      </c>
      <c r="D43" s="156" t="str">
        <f>'Menu 1 - Duck'!D5</f>
        <v>LB</v>
      </c>
    </row>
    <row r="44" ht="18.75" customHeight="1">
      <c r="A44" s="157" t="s">
        <v>60</v>
      </c>
      <c r="B44" s="157"/>
      <c r="C44" s="158">
        <f>SUM(9.6/2.5)</f>
        <v>3.84</v>
      </c>
      <c r="D44" s="157" t="str">
        <f>CONCATENATE("/ ", 'Menu 1 - Duck'!D5)</f>
        <v>/ LB</v>
      </c>
    </row>
    <row r="45" ht="18.75" customHeight="1">
      <c r="A45" s="160"/>
      <c r="B45" s="161"/>
      <c r="C45" s="155">
        <f>SUM(C43*C44)</f>
        <v>0</v>
      </c>
      <c r="D45" s="155"/>
    </row>
    <row r="46" ht="30.0" customHeight="1">
      <c r="A46" s="148" t="s">
        <v>71</v>
      </c>
      <c r="B46" s="149"/>
      <c r="C46" s="150">
        <f>IF('Menu 1 - Duck'!D5="LB",SUM(( 'Menu 1 - Duck'!B38)*(C5/C4))/16,SUM(( 'Menu 1 - Duck'!B39)*(C5/C4))/1000)</f>
        <v>0</v>
      </c>
      <c r="D46" s="156" t="str">
        <f>'Menu 1 - Duck'!D5</f>
        <v>LB</v>
      </c>
    </row>
    <row r="47" ht="18.75" customHeight="1">
      <c r="A47" s="157" t="s">
        <v>60</v>
      </c>
      <c r="B47" s="157"/>
      <c r="C47" s="158">
        <v>2.0</v>
      </c>
      <c r="D47" s="157" t="str">
        <f>CONCATENATE("/ ", 'Menu 1 - Duck'!D5)</f>
        <v>/ LB</v>
      </c>
    </row>
    <row r="48" ht="18.75" customHeight="1">
      <c r="A48" s="160"/>
      <c r="B48" s="161"/>
      <c r="C48" s="155">
        <f>SUM(C46*C47)</f>
        <v>0</v>
      </c>
      <c r="D48" s="155"/>
    </row>
    <row r="49" ht="30.0" customHeight="1">
      <c r="A49" s="148" t="s">
        <v>72</v>
      </c>
      <c r="B49" s="149"/>
      <c r="C49" s="150">
        <f>IF('Menu 1 - Duck'!D5="LB",SUM(( 'Menu 2 - Beef'!B38)*(C5/C4))/16,SUM(( 'Menu 2 - Beef'!B39)*(C5/C4))/1000)</f>
        <v>0</v>
      </c>
      <c r="D49" s="156" t="str">
        <f>'Menu 1 - Duck'!D5</f>
        <v>LB</v>
      </c>
    </row>
    <row r="50" ht="18.75" customHeight="1">
      <c r="A50" s="157" t="s">
        <v>60</v>
      </c>
      <c r="B50" s="157"/>
      <c r="C50" s="158">
        <v>2.0</v>
      </c>
      <c r="D50" s="157" t="str">
        <f>CONCATENATE("/ ", 'Menu 1 - Duck'!D5)</f>
        <v>/ LB</v>
      </c>
    </row>
    <row r="51" ht="18.75" customHeight="1">
      <c r="A51" s="160"/>
      <c r="B51" s="161"/>
      <c r="C51" s="155">
        <f>SUM(C49*C50)</f>
        <v>0</v>
      </c>
      <c r="D51" s="155"/>
    </row>
    <row r="52" ht="30.0" customHeight="1">
      <c r="A52" s="148" t="s">
        <v>73</v>
      </c>
      <c r="B52" s="149"/>
      <c r="C52" s="150">
        <f>IF('Menu 1 - Duck'!D5="LB",SUM(( 'Menu 3 - Lamb'!B38)*(C5/C4))/16,SUM(( 'Menu 3 - Lamb'!B39)*(C5/C4))/1000)</f>
        <v>0</v>
      </c>
      <c r="D52" s="151" t="str">
        <f>'Menu 1 - Duck'!D5</f>
        <v>LB</v>
      </c>
    </row>
    <row r="53" ht="18.75" customHeight="1">
      <c r="A53" s="157" t="s">
        <v>60</v>
      </c>
      <c r="B53" s="157"/>
      <c r="C53" s="158">
        <v>2.0</v>
      </c>
      <c r="D53" s="157" t="str">
        <f>CONCATENATE("/ ", 'Menu 1 - Duck'!D5)</f>
        <v>/ LB</v>
      </c>
    </row>
    <row r="54" ht="18.75" customHeight="1">
      <c r="A54" s="160"/>
      <c r="B54" s="161"/>
      <c r="C54" s="155">
        <f>SUM(C52*C53)</f>
        <v>0</v>
      </c>
      <c r="D54" s="155"/>
    </row>
    <row r="55" ht="30.0" customHeight="1">
      <c r="A55" s="148" t="s">
        <v>74</v>
      </c>
      <c r="B55" s="149"/>
      <c r="C55" s="150">
        <f>SUM('Menu 3 - Lamb'!B48)*(C5/C4)</f>
        <v>0</v>
      </c>
      <c r="D55" s="151" t="s">
        <v>75</v>
      </c>
    </row>
    <row r="56" ht="18.75" customHeight="1">
      <c r="A56" s="157" t="s">
        <v>60</v>
      </c>
      <c r="B56" s="157"/>
      <c r="C56" s="158">
        <v>2.5</v>
      </c>
      <c r="D56" s="157" t="s">
        <v>76</v>
      </c>
    </row>
    <row r="57" ht="18.75" customHeight="1">
      <c r="A57" s="162"/>
      <c r="B57" s="163"/>
      <c r="C57" s="164">
        <f>SUM(C55/12)*C56</f>
        <v>0</v>
      </c>
      <c r="D57" s="164"/>
    </row>
    <row r="58" ht="18.75" customHeight="1">
      <c r="A58" s="165"/>
      <c r="B58" s="25"/>
      <c r="C58" s="25"/>
      <c r="D58" s="25"/>
    </row>
    <row r="59" ht="18.75" customHeight="1">
      <c r="A59" s="146" t="s">
        <v>77</v>
      </c>
      <c r="B59" s="2"/>
      <c r="C59" s="2"/>
      <c r="D59" s="3"/>
    </row>
    <row r="60" ht="18.75" customHeight="1">
      <c r="A60" s="147" t="str">
        <f>CONCATENATE("Amount needed for ", SUM(C5), " days")</f>
        <v>Amount needed for 30 days</v>
      </c>
      <c r="B60" s="2"/>
      <c r="C60" s="2"/>
      <c r="D60" s="3"/>
    </row>
    <row r="61" ht="30.0" customHeight="1">
      <c r="A61" s="166" t="s">
        <v>78</v>
      </c>
      <c r="B61" s="3"/>
      <c r="C61" s="167">
        <f>SUM(( 'Menu 2 - Beef'!B43)*(C5/C4))</f>
        <v>0</v>
      </c>
      <c r="D61" s="168" t="s">
        <v>17</v>
      </c>
    </row>
    <row r="62" ht="18.75" customHeight="1">
      <c r="A62" s="157" t="s">
        <v>79</v>
      </c>
      <c r="B62" s="157"/>
      <c r="C62" s="169">
        <v>13.43</v>
      </c>
      <c r="D62" s="157" t="s">
        <v>80</v>
      </c>
    </row>
    <row r="63" ht="18.75" customHeight="1">
      <c r="A63" s="170"/>
      <c r="B63" s="171"/>
      <c r="C63" s="172">
        <f>SUM(C62/51)*C61</f>
        <v>0</v>
      </c>
      <c r="D63" s="172"/>
    </row>
    <row r="64" ht="30.0" customHeight="1">
      <c r="A64" s="166" t="s">
        <v>81</v>
      </c>
      <c r="B64" s="3"/>
      <c r="C64" s="167">
        <f>SUM(( 'Menu 1 - Duck'!B43)*(C5/C4))</f>
        <v>0</v>
      </c>
      <c r="D64" s="168" t="s">
        <v>17</v>
      </c>
    </row>
    <row r="65" ht="18.75" customHeight="1">
      <c r="A65" s="157" t="s">
        <v>79</v>
      </c>
      <c r="B65" s="157"/>
      <c r="C65" s="169">
        <v>17.32</v>
      </c>
      <c r="D65" s="157" t="s">
        <v>80</v>
      </c>
    </row>
    <row r="66" ht="18.75" customHeight="1">
      <c r="A66" s="170"/>
      <c r="B66" s="171"/>
      <c r="C66" s="172">
        <f>SUM(C65/51)*C64</f>
        <v>0</v>
      </c>
      <c r="D66" s="172"/>
    </row>
    <row r="67" ht="30.0" customHeight="1">
      <c r="A67" s="166" t="str">
        <f>IF('Menu 1 - Duck'!A46="Thorne Research Zinc Picolinate (15mg/capsule)",HYPERLINK("https://www.amazon.com/Thorne-Research-Picolinate-Absorbable-Reproductive/dp/B0797NSHQX/","Thorne Research Zinc Picolinate (15mg/capsule)"), IF('Menu 1 - Duck'!A46="Solgar Zinc Picolinate (22mg/tablet)",HYPERLINK("https://www.amazon.com/Solgar-Zinc-Picolinate-100-Tablets/dp/B00020ICLC/","Solgar Zinc Picolinate (22mg/tablet)"),IF('Menu 1 - Duck'!A46="Thorne Research Zinc Picolinate (30mg/capsule)",HYPERLINK("https://www.amazon.com/Thorne-Research-Picolinate-Well-Absorbed-Supplement/dp/B0012ZQPKG/","Thorne Research Zinc Picolinate (30mg/capsule)"),IF('Menu 1 - Duck'!A46="NOW Zinc Picolinate (50mg/capsule)",HYPERLINK("https://www.amazon.com/NOW-Zinc-Picolinate-50mg-Capsules/dp/B0001SREQY/","NOW Zinc Picolinate (50mg/capsule)"),"error"))))</f>
        <v>error</v>
      </c>
      <c r="B67" s="3"/>
      <c r="C67" s="173">
        <f>SUM('Menu 1 - Duck'!B48)*C5</f>
        <v>0</v>
      </c>
      <c r="D67" s="174" t="str">
        <f>'Menu 1 - Duck'!C49</f>
        <v>error</v>
      </c>
    </row>
    <row r="68" ht="18.75" customHeight="1">
      <c r="A68" s="157" t="s">
        <v>79</v>
      </c>
      <c r="B68" s="157"/>
      <c r="C68" s="169" t="str">
        <f>IF(A67="Thorne Research Zinc Picolinate (15mg/capsule)", 11, IF(A67="Solgar Zinc Picolinate (22mg/tablet)",11.24,IF(A67="Thorne Research Zinc Picolinate (30mg/capsule)", 16,IF(A67="NOW Zinc Picolinate (50mg/capsule)",6.97,"error"))))</f>
        <v>error</v>
      </c>
      <c r="D68" s="157" t="s">
        <v>80</v>
      </c>
    </row>
    <row r="69" ht="18.75" customHeight="1">
      <c r="A69" s="165"/>
      <c r="B69" s="175"/>
      <c r="C69" s="172" t="str">
        <f>IF(A67="Thorne Research Zinc Picolinate (15mg/capsule)",SUM(C68/60)*C67, IF(A67="Solgar Zinc Picolinate (22mg/tablet)", SUM(C68/100)*C67,IF( A67="Thorne Research Zinc Picolinate (30mg/capsule)",SUM(C68/60)*C67,IF(A67="NOW Zinc Picolinate (50mg/capsule)",SUM(C68/60)*C67,"error"))))</f>
        <v>error</v>
      </c>
      <c r="D69" s="172"/>
    </row>
    <row r="70" ht="30.0" customHeight="1">
      <c r="A70" s="166" t="str">
        <f>HYPERLINK("https://www.amazon.com/NOW-FOODS-SPO-32000-Ounce/dp/B000MXE4FW/","NOW Vitamin E (31.6IU/drop)")</f>
        <v>NOW Vitamin E (31.6IU/drop)</v>
      </c>
      <c r="B70" s="3"/>
      <c r="C70" s="173">
        <f>SUM( 'Menu 1 - Duck'!B53)*C5</f>
        <v>0</v>
      </c>
      <c r="D70" s="168" t="s">
        <v>82</v>
      </c>
    </row>
    <row r="71" ht="18.75" customHeight="1">
      <c r="A71" s="157" t="s">
        <v>79</v>
      </c>
      <c r="B71" s="157"/>
      <c r="C71" s="169">
        <v>15.48</v>
      </c>
      <c r="D71" s="157" t="s">
        <v>80</v>
      </c>
    </row>
    <row r="72" ht="18.75" customHeight="1">
      <c r="A72" s="165"/>
      <c r="B72" s="175"/>
      <c r="C72" s="172">
        <f>SUM(C71/750)*C70</f>
        <v>0</v>
      </c>
      <c r="D72" s="172"/>
    </row>
    <row r="73" ht="30.0" customHeight="1">
      <c r="A73" s="166" t="str">
        <f>IF('Menu 1 - Duck'!A56="NOW Pure Kelp Powder (450mcg/scoop)",HYPERLINK("https://www.nowfoods.com/supplements/kelp-powder-organic","NOW Pure Kelp Powder (450mcg/scoop)"),IF('Menu 1 - Duck'!A56="Solgar Kelp (200mcg/capsule)",HYPERLINK("https://www.amazon.com/Solgar-North-Atlantic-Vegetable-Capsules/dp/B00014EB0K/","Solgar Kelp (200mcg/capsule)"),IF('Menu 1 - Duck'!A56="Mary Ruth's Pure Iodine (125mcg/drop)",HYPERLINK("https://www.amazon.com/Organic-Vegan-Iodine-Drops-Non-GMO/dp/B07P4M7RHZ/","Mary Ruth's Pure Iodine (125mcg/drop)"),IF('Menu 1 - Duck'!A56="NOW Kelp Tablets (150mcg/tablet)",HYPERLINK("https://www.amazon.com/Foods-150mcg-Natural-Iodine-Tablets/dp/B0001T0CL2/","NOW Kelp Tablets (150mcg/tablet)"),"error"))))</f>
        <v>error</v>
      </c>
      <c r="B73" s="3"/>
      <c r="C73" s="176">
        <f>SUM( 'Menu 1 - Duck'!B58)*C5</f>
        <v>0</v>
      </c>
      <c r="D73" s="174" t="str">
        <f>'Menu 1 - Duck'!C59</f>
        <v>error</v>
      </c>
    </row>
    <row r="74" ht="18.75" customHeight="1">
      <c r="A74" s="157" t="s">
        <v>79</v>
      </c>
      <c r="B74" s="157"/>
      <c r="C74" s="169" t="str">
        <f>IF(A73="NOW Pure Kelp Powder (450mcg/scoop)", 13.6,IF(A73="Solgar Kelp (200mcg/capsule)",8.17,IF(A73="Mary Ruth's Pure Iodine (125mcg/drop)",23.95,IF(A73="NOW Kelp Tablets (150mcg/tablet)",9.99,"error"       ))))</f>
        <v>error</v>
      </c>
      <c r="D74" s="157" t="s">
        <v>80</v>
      </c>
    </row>
    <row r="75" ht="15.75" customHeight="1">
      <c r="A75" s="165"/>
      <c r="B75" s="177"/>
      <c r="C75" s="172" t="str">
        <f>IF(A73="NOW Pure Kelp Powder (450mcg/scoop)",SUM((C73/2522)*C74),IF(A73="Solgar Kelp (200mcg/capsule)",SUM((C73/100)*C74),IF(A73="Mary Ruth's Pure Iodine (125mcg/drop)",SUM((C73/450)*C74),IF(A73="NOW Kelp Tablets (150mcg/tablet)",SUM((C73/200)*C74),"error"       ))))</f>
        <v>error</v>
      </c>
      <c r="D75" s="172"/>
    </row>
  </sheetData>
  <mergeCells count="32">
    <mergeCell ref="A1:D1"/>
    <mergeCell ref="A3:D3"/>
    <mergeCell ref="C4:D4"/>
    <mergeCell ref="C5:D5"/>
    <mergeCell ref="C6:D6"/>
    <mergeCell ref="C7:D7"/>
    <mergeCell ref="C8:D8"/>
    <mergeCell ref="C9:D9"/>
    <mergeCell ref="A11:D11"/>
    <mergeCell ref="A12:D12"/>
    <mergeCell ref="A13:B13"/>
    <mergeCell ref="A16:B16"/>
    <mergeCell ref="A19:B19"/>
    <mergeCell ref="A22:B22"/>
    <mergeCell ref="A25:B25"/>
    <mergeCell ref="A28:B28"/>
    <mergeCell ref="A31:B31"/>
    <mergeCell ref="A34:B34"/>
    <mergeCell ref="A37:B37"/>
    <mergeCell ref="A40:B40"/>
    <mergeCell ref="A43:B43"/>
    <mergeCell ref="A64:B64"/>
    <mergeCell ref="A67:B67"/>
    <mergeCell ref="A70:B70"/>
    <mergeCell ref="A73:B73"/>
    <mergeCell ref="A46:B46"/>
    <mergeCell ref="A49:B49"/>
    <mergeCell ref="A52:B52"/>
    <mergeCell ref="A55:B55"/>
    <mergeCell ref="A59:D59"/>
    <mergeCell ref="A60:D60"/>
    <mergeCell ref="A61:B61"/>
  </mergeCells>
  <hyperlinks>
    <hyperlink r:id="rId1" ref="A61"/>
    <hyperlink r:id="rId2" ref="A64"/>
  </hyperlinks>
  <printOptions gridLines="1" horizontalCentered="1"/>
  <pageMargins bottom="0.75" footer="0.0" header="0.0" left="0.7" right="0.7" top="0.75"/>
  <pageSetup fitToHeight="0" cellComments="atEnd" orientation="portrait" pageOrder="overThenDown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